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主参数" sheetId="1" state="visible" r:id="rId1"/>
    <sheet name="零件设计参数" sheetId="2" state="visible" r:id="rId2"/>
    <sheet name="配合关系" sheetId="3" state="visible" r:id="rId3"/>
    <sheet name="参数传递" sheetId="4" state="visible" r:id="rId4"/>
    <sheet name="设计校核" sheetId="5" state="visible" r:id="rId5"/>
    <sheet name="销槽几何" sheetId="6" state="visible" r:id="rId6"/>
    <sheet name="待定参数" sheetId="7" state="visible" r:id="rId7"/>
    <sheet name="发电功率链" sheetId="8" state="visible" r:id="rId8"/>
    <sheet name="发电机配置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  <sz val="11"/>
    </font>
    <font>
      <b val="1"/>
    </font>
  </fonts>
  <fills count="5">
    <fill>
      <patternFill/>
    </fill>
    <fill>
      <patternFill patternType="gray125"/>
    </fill>
    <fill>
      <patternFill patternType="solid">
        <fgColor rgb="001565C0"/>
      </patternFill>
    </fill>
    <fill>
      <patternFill patternType="solid">
        <fgColor rgb="00FFF9C4"/>
      </patternFill>
    </fill>
    <fill>
      <patternFill patternType="solid">
        <fgColor rgb="00DCF6E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8" customWidth="1" min="3" max="3"/>
    <col width="12" customWidth="1" min="4" max="4"/>
    <col width="8" customWidth="1" min="5" max="5"/>
    <col width="26" customWidth="1" min="6" max="6"/>
  </cols>
  <sheetData>
    <row r="1">
      <c r="A1" s="1" t="inlineStr">
        <is>
          <t>主参数（黄=输入，绿=公式自动计算）</t>
        </is>
      </c>
    </row>
    <row r="2">
      <c r="A2" s="2" t="inlineStr">
        <is>
          <t>序号</t>
        </is>
      </c>
      <c r="B2" s="2" t="inlineStr">
        <is>
          <t>参数</t>
        </is>
      </c>
      <c r="C2" s="2" t="inlineStr">
        <is>
          <t>符号</t>
        </is>
      </c>
      <c r="D2" s="2" t="inlineStr">
        <is>
          <t>数值</t>
        </is>
      </c>
      <c r="E2" s="2" t="inlineStr">
        <is>
          <t>单位</t>
        </is>
      </c>
      <c r="F2" s="2" t="inlineStr">
        <is>
          <t>公式/依据</t>
        </is>
      </c>
    </row>
    <row r="3">
      <c r="A3" s="3" t="n">
        <v>1</v>
      </c>
      <c r="B3" s="3" t="inlineStr">
        <is>
          <t>轨道直径</t>
        </is>
      </c>
      <c r="C3" s="3" t="inlineStr">
        <is>
          <t>D</t>
        </is>
      </c>
      <c r="D3" s="4" t="n">
        <v>3</v>
      </c>
      <c r="E3" s="3" t="inlineStr">
        <is>
          <t>m</t>
        </is>
      </c>
      <c r="F3" s="3" t="inlineStr">
        <is>
          <t>输入</t>
        </is>
      </c>
    </row>
    <row r="4">
      <c r="A4" s="3" t="n">
        <v>2</v>
      </c>
      <c r="B4" s="3" t="inlineStr">
        <is>
          <t>叶片展向高</t>
        </is>
      </c>
      <c r="C4" s="3" t="inlineStr">
        <is>
          <t>H</t>
        </is>
      </c>
      <c r="D4" s="4" t="n">
        <v>1.013</v>
      </c>
      <c r="E4" s="3" t="inlineStr">
        <is>
          <t>m</t>
        </is>
      </c>
      <c r="F4" s="3" t="inlineStr">
        <is>
          <t>输入</t>
        </is>
      </c>
    </row>
    <row r="5">
      <c r="A5" s="3" t="n">
        <v>3</v>
      </c>
      <c r="B5" s="3" t="inlineStr">
        <is>
          <t>弦/展比</t>
        </is>
      </c>
      <c r="C5" s="3" t="inlineStr">
        <is>
          <t>kc</t>
        </is>
      </c>
      <c r="D5" s="4" t="n">
        <v>0.532</v>
      </c>
      <c r="E5" s="3" t="inlineStr">
        <is>
          <t>-</t>
        </is>
      </c>
      <c r="F5" s="3" t="inlineStr">
        <is>
          <t>输入</t>
        </is>
      </c>
    </row>
    <row r="6">
      <c r="A6" s="3" t="n">
        <v>4</v>
      </c>
      <c r="B6" s="3" t="inlineStr">
        <is>
          <t>叶弦</t>
        </is>
      </c>
      <c r="C6" s="3" t="inlineStr">
        <is>
          <t>c</t>
        </is>
      </c>
      <c r="D6" s="5">
        <f>D4*D5</f>
        <v/>
      </c>
      <c r="E6" s="3" t="inlineStr">
        <is>
          <t>m</t>
        </is>
      </c>
      <c r="F6" s="3">
        <f>展向高×弦展比</f>
        <v/>
      </c>
    </row>
    <row r="7">
      <c r="A7" s="3" t="n">
        <v>5</v>
      </c>
      <c r="B7" s="3" t="inlineStr">
        <is>
          <t>单叶面积</t>
        </is>
      </c>
      <c r="C7" s="3" t="inlineStr">
        <is>
          <t>A</t>
        </is>
      </c>
      <c r="D7" s="5">
        <f>D4*D6</f>
        <v/>
      </c>
      <c r="E7" s="3" t="inlineStr">
        <is>
          <t>m²</t>
        </is>
      </c>
      <c r="F7" s="3">
        <f>展×弦</f>
        <v/>
      </c>
    </row>
    <row r="8">
      <c r="A8" s="3" t="n">
        <v>6</v>
      </c>
      <c r="B8" s="3" t="inlineStr">
        <is>
          <t>滑车间距系数</t>
        </is>
      </c>
      <c r="C8" s="3" t="inlineStr">
        <is>
          <t>ks</t>
        </is>
      </c>
      <c r="D8" s="4" t="n">
        <v>1.2</v>
      </c>
      <c r="E8" s="3" t="inlineStr">
        <is>
          <t>-</t>
        </is>
      </c>
      <c r="F8" s="3" t="inlineStr">
        <is>
          <t>输入</t>
        </is>
      </c>
    </row>
    <row r="9">
      <c r="A9" s="3" t="n">
        <v>7</v>
      </c>
      <c r="B9" s="3" t="inlineStr">
        <is>
          <t>轨道周长</t>
        </is>
      </c>
      <c r="C9" s="3" t="inlineStr">
        <is>
          <t>Ltr</t>
        </is>
      </c>
      <c r="D9" s="5">
        <f>PI()*D3</f>
        <v/>
      </c>
      <c r="E9" s="3" t="inlineStr">
        <is>
          <t>m</t>
        </is>
      </c>
      <c r="F9" s="3">
        <f>πD</f>
        <v/>
      </c>
    </row>
    <row r="10">
      <c r="A10" s="3" t="n">
        <v>8</v>
      </c>
      <c r="B10" s="3" t="inlineStr">
        <is>
          <t>滑车间距</t>
        </is>
      </c>
      <c r="C10" s="3" t="inlineStr">
        <is>
          <t>s_car</t>
        </is>
      </c>
      <c r="D10" s="5">
        <f>D8*D6</f>
        <v/>
      </c>
      <c r="E10" s="3" t="inlineStr">
        <is>
          <t>m</t>
        </is>
      </c>
      <c r="F10" s="3">
        <f>系数×弦</f>
        <v/>
      </c>
    </row>
    <row r="11">
      <c r="A11" s="3" t="n">
        <v>9</v>
      </c>
      <c r="B11" s="3" t="inlineStr">
        <is>
          <t>滑车数</t>
        </is>
      </c>
      <c r="C11" s="3" t="inlineStr">
        <is>
          <t>n_car</t>
        </is>
      </c>
      <c r="D11" s="5">
        <f>ROUND(D9/D10,0)</f>
        <v/>
      </c>
      <c r="E11" s="3" t="inlineStr">
        <is>
          <t>台</t>
        </is>
      </c>
      <c r="F11" s="3">
        <f>周长/间距</f>
        <v/>
      </c>
    </row>
    <row r="12">
      <c r="A12" s="3" t="n">
        <v>10</v>
      </c>
      <c r="B12" s="3" t="inlineStr">
        <is>
          <t>叶片数</t>
        </is>
      </c>
      <c r="C12" s="3" t="inlineStr">
        <is>
          <t>n_bl</t>
        </is>
      </c>
      <c r="D12" s="5">
        <f>D11*2</f>
        <v/>
      </c>
      <c r="E12" s="3" t="inlineStr">
        <is>
          <t>片</t>
        </is>
      </c>
      <c r="F12" s="3">
        <f>2×滑车数</f>
        <v/>
      </c>
    </row>
    <row r="13">
      <c r="A13" s="3" t="n">
        <v>11</v>
      </c>
      <c r="B13" s="3" t="inlineStr">
        <is>
          <t>设计风速</t>
        </is>
      </c>
      <c r="C13" s="3" t="inlineStr">
        <is>
          <t>V</t>
        </is>
      </c>
      <c r="D13" s="4" t="n">
        <v>11</v>
      </c>
      <c r="E13" s="3" t="inlineStr">
        <is>
          <t>m/s</t>
        </is>
      </c>
      <c r="F13" s="3" t="inlineStr">
        <is>
          <t>输入</t>
        </is>
      </c>
    </row>
    <row r="14">
      <c r="A14" s="3" t="n">
        <v>12</v>
      </c>
      <c r="B14" s="3" t="inlineStr">
        <is>
          <t>车速系数</t>
        </is>
      </c>
      <c r="C14" s="3" t="inlineStr">
        <is>
          <t>kv</t>
        </is>
      </c>
      <c r="D14" s="4" t="n">
        <v>0.667</v>
      </c>
      <c r="E14" s="3" t="inlineStr">
        <is>
          <t>-</t>
        </is>
      </c>
      <c r="F14" s="3" t="inlineStr">
        <is>
          <t>输入</t>
        </is>
      </c>
    </row>
    <row r="15">
      <c r="A15" s="3" t="n">
        <v>13</v>
      </c>
      <c r="B15" s="3" t="inlineStr">
        <is>
          <t>车速</t>
        </is>
      </c>
      <c r="C15" s="3" t="inlineStr">
        <is>
          <t>v</t>
        </is>
      </c>
      <c r="D15" s="5">
        <f>D14*D13</f>
        <v/>
      </c>
      <c r="E15" s="3" t="inlineStr">
        <is>
          <t>m/s</t>
        </is>
      </c>
      <c r="F15" s="3">
        <f>系数×风速</f>
        <v/>
      </c>
    </row>
    <row r="16">
      <c r="A16" s="3" t="n">
        <v>14</v>
      </c>
      <c r="B16" s="3" t="inlineStr">
        <is>
          <t>空气密度</t>
        </is>
      </c>
      <c r="C16" s="3" t="inlineStr">
        <is>
          <t>ρ</t>
        </is>
      </c>
      <c r="D16" s="4" t="n">
        <v>1.225</v>
      </c>
      <c r="E16" s="3" t="inlineStr">
        <is>
          <t>kg/m³</t>
        </is>
      </c>
      <c r="F16" s="3" t="inlineStr">
        <is>
          <t>输入</t>
        </is>
      </c>
    </row>
    <row r="17">
      <c r="A17" s="3" t="n">
        <v>15</v>
      </c>
      <c r="B17" s="3" t="inlineStr">
        <is>
          <t>阻力系数</t>
        </is>
      </c>
      <c r="C17" s="3" t="inlineStr">
        <is>
          <t>Cd</t>
        </is>
      </c>
      <c r="D17" s="4" t="n">
        <v>1.2</v>
      </c>
      <c r="E17" s="3" t="inlineStr">
        <is>
          <t>-</t>
        </is>
      </c>
      <c r="F17" s="3" t="inlineStr">
        <is>
          <t>输入</t>
        </is>
      </c>
    </row>
    <row r="18">
      <c r="A18" s="3" t="n">
        <v>16</v>
      </c>
      <c r="B18" s="3" t="inlineStr">
        <is>
          <t>机械效率</t>
        </is>
      </c>
      <c r="C18" s="3" t="inlineStr">
        <is>
          <t>ηm</t>
        </is>
      </c>
      <c r="D18" s="4" t="n">
        <v>0.5</v>
      </c>
      <c r="E18" s="3" t="inlineStr">
        <is>
          <t>-</t>
        </is>
      </c>
      <c r="F18" s="3" t="inlineStr">
        <is>
          <t>输入</t>
        </is>
      </c>
    </row>
    <row r="19">
      <c r="A19" s="3" t="n">
        <v>17</v>
      </c>
      <c r="B19" s="3" t="inlineStr">
        <is>
          <t>发电效率</t>
        </is>
      </c>
      <c r="C19" s="3" t="inlineStr">
        <is>
          <t>ηg</t>
        </is>
      </c>
      <c r="D19" s="4" t="n">
        <v>0.9</v>
      </c>
      <c r="E19" s="3" t="inlineStr">
        <is>
          <t>-</t>
        </is>
      </c>
      <c r="F19" s="3" t="inlineStr">
        <is>
          <t>输入</t>
        </is>
      </c>
    </row>
    <row r="20">
      <c r="A20" s="3" t="n">
        <v>18</v>
      </c>
      <c r="B20" s="3" t="inlineStr">
        <is>
          <t>叶片总面积</t>
        </is>
      </c>
      <c r="C20" s="3" t="inlineStr">
        <is>
          <t>A_tot</t>
        </is>
      </c>
      <c r="D20" s="5">
        <f>D12*D7</f>
        <v/>
      </c>
      <c r="E20" s="3" t="inlineStr">
        <is>
          <t>m²</t>
        </is>
      </c>
      <c r="F20" s="3">
        <f>叶片数×单叶面积</f>
        <v/>
      </c>
    </row>
    <row r="21">
      <c r="A21" s="3" t="n">
        <v>19</v>
      </c>
      <c r="B21" s="3" t="inlineStr">
        <is>
          <t>整机功率</t>
        </is>
      </c>
      <c r="C21" s="3" t="inlineStr">
        <is>
          <t>P</t>
        </is>
      </c>
      <c r="D21" s="5">
        <f>0.333*D17*D16*D20*D13^3*D18*D19/1000</f>
        <v/>
      </c>
      <c r="E21" s="3" t="inlineStr">
        <is>
          <t>kW</t>
        </is>
      </c>
      <c r="F21" s="3">
        <f>0.49·A总·V³·ηm·ηg</f>
        <v/>
      </c>
    </row>
    <row r="22">
      <c r="A22" s="3" t="n">
        <v>20</v>
      </c>
      <c r="B22" s="3" t="inlineStr">
        <is>
          <t>叶面角范围</t>
        </is>
      </c>
      <c r="C22" s="3" t="inlineStr">
        <is>
          <t>γ</t>
        </is>
      </c>
      <c r="D22" s="4" t="n">
        <v>360</v>
      </c>
      <c r="E22" s="3" t="inlineStr">
        <is>
          <t>°</t>
        </is>
      </c>
      <c r="F22" s="3" t="inlineStr">
        <is>
          <t>输入</t>
        </is>
      </c>
    </row>
    <row r="23">
      <c r="A23" s="3" t="n">
        <v>21</v>
      </c>
      <c r="B23" s="3" t="inlineStr">
        <is>
          <t>叶轴角范围</t>
        </is>
      </c>
      <c r="C23" s="3" t="inlineStr">
        <is>
          <t>β</t>
        </is>
      </c>
      <c r="D23" s="4" t="n">
        <v>15</v>
      </c>
      <c r="E23" s="3" t="inlineStr">
        <is>
          <t>°</t>
        </is>
      </c>
      <c r="F23" s="3" t="inlineStr">
        <is>
          <t>输入</t>
        </is>
      </c>
    </row>
    <row r="24">
      <c r="A24" s="3" t="n">
        <v>22</v>
      </c>
      <c r="B24" s="3" t="inlineStr">
        <is>
          <t>安全系数目标</t>
        </is>
      </c>
      <c r="C24" s="3" t="inlineStr">
        <is>
          <t>SF</t>
        </is>
      </c>
      <c r="D24" s="4" t="n">
        <v>2</v>
      </c>
      <c r="E24" s="3" t="inlineStr">
        <is>
          <t>-</t>
        </is>
      </c>
      <c r="F24" s="3" t="inlineStr">
        <is>
          <t>输入</t>
        </is>
      </c>
    </row>
    <row r="25">
      <c r="A25" s="3" t="n">
        <v>23</v>
      </c>
      <c r="B25" s="3" t="inlineStr">
        <is>
          <t>脉冲细分</t>
        </is>
      </c>
      <c r="C25" s="3" t="inlineStr">
        <is>
          <t>µ</t>
        </is>
      </c>
      <c r="D25" s="4" t="n">
        <v>1600</v>
      </c>
      <c r="E25" s="3" t="inlineStr">
        <is>
          <t>-</t>
        </is>
      </c>
      <c r="F25" s="3" t="inlineStr">
        <is>
          <t>输入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0" customWidth="1" min="3" max="3"/>
    <col width="22" customWidth="1" min="4" max="4"/>
    <col width="16" customWidth="1" min="5" max="5"/>
    <col width="8" customWidth="1" min="6" max="6"/>
    <col width="28" customWidth="1" min="7" max="7"/>
  </cols>
  <sheetData>
    <row r="1">
      <c r="A1" s="1" t="inlineStr">
        <is>
          <t>零件设计参数与计算公式（数值全部由主参数与上游零件推导）</t>
        </is>
      </c>
    </row>
    <row r="2">
      <c r="A2" s="2" t="inlineStr">
        <is>
          <t>零件</t>
        </is>
      </c>
      <c r="B2" s="2" t="inlineStr">
        <is>
          <t>设计参数</t>
        </is>
      </c>
      <c r="C2" s="2" t="inlineStr">
        <is>
          <t>符号</t>
        </is>
      </c>
      <c r="D2" s="2" t="inlineStr">
        <is>
          <t>计算公式</t>
        </is>
      </c>
      <c r="E2" s="2" t="inlineStr">
        <is>
          <t>数值</t>
        </is>
      </c>
      <c r="F2" s="2" t="inlineStr">
        <is>
          <t>单位</t>
        </is>
      </c>
      <c r="G2" s="2" t="inlineStr">
        <is>
          <t>约束/说明</t>
        </is>
      </c>
    </row>
    <row r="3">
      <c r="A3" s="3" t="inlineStr">
        <is>
          <t>轨道</t>
        </is>
      </c>
      <c r="B3" s="3" t="inlineStr">
        <is>
          <t>周长</t>
        </is>
      </c>
      <c r="C3" s="3" t="inlineStr">
        <is>
          <t>Ltr</t>
        </is>
      </c>
      <c r="D3" s="3" t="inlineStr">
        <is>
          <t>πD</t>
        </is>
      </c>
      <c r="E3" s="5">
        <f>主参数!D9</f>
        <v/>
      </c>
      <c r="F3" s="3" t="inlineStr">
        <is>
          <t>m</t>
        </is>
      </c>
      <c r="G3" s="3" t="inlineStr">
        <is>
          <t>决定滑车数与齿条齿数</t>
        </is>
      </c>
    </row>
    <row r="4">
      <c r="A4" s="3" t="inlineStr">
        <is>
          <t>轨道</t>
        </is>
      </c>
      <c r="B4" s="3" t="inlineStr">
        <is>
          <t>分段数</t>
        </is>
      </c>
      <c r="C4" s="3" t="inlineStr">
        <is>
          <t>n_seg</t>
        </is>
      </c>
      <c r="D4" s="3" t="inlineStr">
        <is>
          <t>ROUND(周长/1.6,0)</t>
        </is>
      </c>
      <c r="E4" s="5">
        <f>ROUND(E3/1.6,0)</f>
        <v/>
      </c>
      <c r="F4" s="3" t="inlineStr">
        <is>
          <t>段</t>
        </is>
      </c>
      <c r="G4" s="3" t="inlineStr">
        <is>
          <t>单段≈1.6 m 便于运输</t>
        </is>
      </c>
    </row>
    <row r="5">
      <c r="A5" s="3" t="inlineStr">
        <is>
          <t>滑车壳体</t>
        </is>
      </c>
      <c r="B5" s="3" t="inlineStr">
        <is>
          <t>数量</t>
        </is>
      </c>
      <c r="C5" s="3" t="inlineStr">
        <is>
          <t>n_car</t>
        </is>
      </c>
      <c r="D5" s="3" t="inlineStr">
        <is>
          <t>周长/滑车间距</t>
        </is>
      </c>
      <c r="E5" s="5">
        <f>主参数!D11</f>
        <v/>
      </c>
      <c r="F5" s="3" t="inlineStr">
        <is>
          <t>台</t>
        </is>
      </c>
      <c r="G5" s="3" t="inlineStr">
        <is>
          <t>与周长联动</t>
        </is>
      </c>
    </row>
    <row r="6">
      <c r="A6" s="3" t="inlineStr">
        <is>
          <t>滑车壳体</t>
        </is>
      </c>
      <c r="B6" s="3" t="inlineStr">
        <is>
          <t>滚动轮数</t>
        </is>
      </c>
      <c r="C6" s="3" t="inlineStr">
        <is>
          <t>n_w</t>
        </is>
      </c>
      <c r="D6" s="3" t="inlineStr">
        <is>
          <t>4×滑车数</t>
        </is>
      </c>
      <c r="E6" s="5">
        <f>4*E5</f>
        <v/>
      </c>
      <c r="F6" s="3" t="inlineStr">
        <is>
          <t>个</t>
        </is>
      </c>
      <c r="G6" s="3" t="inlineStr">
        <is>
          <t>每车 4 轮</t>
        </is>
      </c>
    </row>
    <row r="7">
      <c r="A7" s="3" t="inlineStr">
        <is>
          <t>上下弯齿条</t>
        </is>
      </c>
      <c r="B7" s="3" t="inlineStr">
        <is>
          <t>数量</t>
        </is>
      </c>
      <c r="C7" s="3" t="inlineStr">
        <is>
          <t>n_rack</t>
        </is>
      </c>
      <c r="D7" s="3" t="inlineStr">
        <is>
          <t>2×滑车数</t>
        </is>
      </c>
      <c r="E7" s="5">
        <f>2*E5</f>
        <v/>
      </c>
      <c r="F7" s="3" t="inlineStr">
        <is>
          <t>件</t>
        </is>
      </c>
      <c r="G7" s="3" t="inlineStr">
        <is>
          <t>上下各一条</t>
        </is>
      </c>
    </row>
    <row r="8">
      <c r="A8" s="3" t="inlineStr">
        <is>
          <t>上下弯齿条</t>
        </is>
      </c>
      <c r="B8" s="3" t="inlineStr">
        <is>
          <t>齿数</t>
        </is>
      </c>
      <c r="C8" s="3" t="inlineStr">
        <is>
          <t>z_rack</t>
        </is>
      </c>
      <c r="D8" s="3" t="inlineStr">
        <is>
          <t>πD/齿距</t>
        </is>
      </c>
      <c r="E8" s="5">
        <f>ROUND(PI()*主参数!D3/(PI()*E30),0)</f>
        <v/>
      </c>
      <c r="F8" s="3" t="inlineStr">
        <is>
          <t>齿</t>
        </is>
      </c>
      <c r="G8" s="3" t="inlineStr">
        <is>
          <t>m=1 → 齿距 π</t>
        </is>
      </c>
    </row>
    <row r="9">
      <c r="A9" s="3" t="inlineStr">
        <is>
          <t>叶片框凸片</t>
        </is>
      </c>
      <c r="B9" s="3" t="inlineStr">
        <is>
          <t>数量</t>
        </is>
      </c>
      <c r="C9" s="3" t="inlineStr">
        <is>
          <t>n_f1</t>
        </is>
      </c>
      <c r="D9" s="3">
        <f>叶片数</f>
        <v/>
      </c>
      <c r="E9" s="5">
        <f>主参数!D12</f>
        <v/>
      </c>
      <c r="F9" s="3" t="inlineStr">
        <is>
          <t>片</t>
        </is>
      </c>
      <c r="G9" s="3" t="inlineStr">
        <is>
          <t>与凹片对装</t>
        </is>
      </c>
    </row>
    <row r="10">
      <c r="A10" s="3" t="inlineStr">
        <is>
          <t>叶片框凸片</t>
        </is>
      </c>
      <c r="B10" s="3" t="inlineStr">
        <is>
          <t>板厚(叶根)</t>
        </is>
      </c>
      <c r="C10" s="3" t="inlineStr">
        <is>
          <t>t1</t>
        </is>
      </c>
      <c r="D10" s="3" t="inlineStr">
        <is>
          <t>按局部弯曲确定</t>
        </is>
      </c>
      <c r="E10" s="4" t="inlineStr">
        <is>
          <t>6</t>
        </is>
      </c>
      <c r="F10" s="3" t="inlineStr">
        <is>
          <t>mm</t>
        </is>
      </c>
      <c r="G10" s="3" t="inlineStr">
        <is>
          <t>弯曲应力控制</t>
        </is>
      </c>
    </row>
    <row r="11">
      <c r="A11" s="3" t="inlineStr">
        <is>
          <t>叶片框凸片</t>
        </is>
      </c>
      <c r="B11" s="3" t="inlineStr">
        <is>
          <t>螺丝孔数</t>
        </is>
      </c>
      <c r="C11" s="3" t="inlineStr">
        <is>
          <t>n_h</t>
        </is>
      </c>
      <c r="D11" s="3" t="inlineStr">
        <is>
          <t>按节距均布</t>
        </is>
      </c>
      <c r="E11" s="4" t="inlineStr">
        <is>
          <t>16</t>
        </is>
      </c>
      <c r="F11" s="3" t="inlineStr">
        <is>
          <t>个</t>
        </is>
      </c>
      <c r="G11" s="3" t="inlineStr">
        <is>
          <t>⌀3.4 + ⌀8 垫圈</t>
        </is>
      </c>
    </row>
    <row r="12">
      <c r="A12" s="3" t="inlineStr">
        <is>
          <t>叶片框凹片</t>
        </is>
      </c>
      <c r="B12" s="3" t="inlineStr">
        <is>
          <t>槽宽</t>
        </is>
      </c>
      <c r="C12" s="3" t="inlineStr">
        <is>
          <t>w_s</t>
        </is>
      </c>
      <c r="D12" s="3" t="inlineStr">
        <is>
          <t>压带+0.6</t>
        </is>
      </c>
      <c r="E12" s="4" t="inlineStr">
        <is>
          <t>2.1</t>
        </is>
      </c>
      <c r="F12" s="3" t="inlineStr">
        <is>
          <t>mm</t>
        </is>
      </c>
      <c r="G12" s="3" t="inlineStr">
        <is>
          <t>配凸片压带 1.5</t>
        </is>
      </c>
    </row>
    <row r="13">
      <c r="A13" s="3" t="inlineStr">
        <is>
          <t>叶片框凹片</t>
        </is>
      </c>
      <c r="B13" s="3" t="inlineStr">
        <is>
          <t>夹布缝</t>
        </is>
      </c>
      <c r="C13" s="3" t="inlineStr">
        <is>
          <t>g_c</t>
        </is>
      </c>
      <c r="D13" s="3" t="inlineStr">
        <is>
          <t>槽深−布厚</t>
        </is>
      </c>
      <c r="E13" s="4" t="inlineStr">
        <is>
          <t>0.2</t>
        </is>
      </c>
      <c r="F13" s="3" t="inlineStr">
        <is>
          <t>mm</t>
        </is>
      </c>
      <c r="G13" s="3" t="inlineStr">
        <is>
          <t>布 0.7 可压至 0.5</t>
        </is>
      </c>
    </row>
    <row r="14">
      <c r="A14" s="3" t="inlineStr">
        <is>
          <t>双向丝杆</t>
        </is>
      </c>
      <c r="B14" s="3" t="inlineStr">
        <is>
          <t>半径</t>
        </is>
      </c>
      <c r="C14" s="3" t="inlineStr">
        <is>
          <t>r_s</t>
        </is>
      </c>
      <c r="D14" s="3" t="inlineStr">
        <is>
          <t>d_s/2</t>
        </is>
      </c>
      <c r="E14" s="5">
        <f>E43/2</f>
        <v/>
      </c>
      <c r="F14" s="3" t="inlineStr">
        <is>
          <t>mm</t>
        </is>
      </c>
      <c r="G14" s="3" t="inlineStr">
        <is>
          <t>丝杆外缘位置 = a + r_s</t>
        </is>
      </c>
    </row>
    <row r="15">
      <c r="A15" s="3" t="inlineStr">
        <is>
          <t>旋转底座</t>
        </is>
      </c>
      <c r="B15" s="3" t="inlineStr">
        <is>
          <t>加工公差</t>
        </is>
      </c>
      <c r="C15" s="3" t="inlineStr">
        <is>
          <t>tol</t>
        </is>
      </c>
      <c r="D15" s="3" t="inlineStr">
        <is>
          <t>输入</t>
        </is>
      </c>
      <c r="E15" s="4" t="inlineStr">
        <is>
          <t>0.2</t>
        </is>
      </c>
      <c r="F15" s="3" t="inlineStr">
        <is>
          <t>mm</t>
        </is>
      </c>
      <c r="G15" s="3" t="inlineStr">
        <is>
          <t>IT10/铸件</t>
        </is>
      </c>
    </row>
    <row r="16">
      <c r="A16" s="3" t="inlineStr">
        <is>
          <t>旋转底座</t>
        </is>
      </c>
      <c r="B16" s="3" t="inlineStr">
        <is>
          <t>装配余量</t>
        </is>
      </c>
      <c r="C16" s="3" t="inlineStr">
        <is>
          <t>c_asm</t>
        </is>
      </c>
      <c r="D16" s="3" t="inlineStr">
        <is>
          <t>输入</t>
        </is>
      </c>
      <c r="E16" s="4" t="inlineStr">
        <is>
          <t>0.5</t>
        </is>
      </c>
      <c r="F16" s="3" t="inlineStr">
        <is>
          <t>mm</t>
        </is>
      </c>
      <c r="G16" s="3" t="inlineStr">
        <is>
          <t>装配需要</t>
        </is>
      </c>
    </row>
    <row r="17">
      <c r="A17" s="3" t="inlineStr">
        <is>
          <t>旋转底座</t>
        </is>
      </c>
      <c r="B17" s="3" t="inlineStr">
        <is>
          <t>热膨胀量</t>
        </is>
      </c>
      <c r="C17" s="3" t="inlineStr">
        <is>
          <t>δ_th</t>
        </is>
      </c>
      <c r="D17" s="3" t="inlineStr">
        <is>
          <t>α·ΔT·R_in</t>
        </is>
      </c>
      <c r="E17" s="5">
        <f>ROUND(23E-6*40*E20,3)</f>
        <v/>
      </c>
      <c r="F17" s="3" t="inlineStr">
        <is>
          <t>mm</t>
        </is>
      </c>
      <c r="G17" s="3" t="inlineStr">
        <is>
          <t>铝 α=23e-6, ΔT=40K</t>
        </is>
      </c>
    </row>
    <row r="18">
      <c r="A18" s="3" t="inlineStr">
        <is>
          <t>旋转底座</t>
        </is>
      </c>
      <c r="B18" s="3" t="inlineStr">
        <is>
          <t>铸件变形</t>
        </is>
      </c>
      <c r="C18" s="3" t="inlineStr">
        <is>
          <t>δ_cast</t>
        </is>
      </c>
      <c r="D18" s="3" t="inlineStr">
        <is>
          <t>输入</t>
        </is>
      </c>
      <c r="E18" s="4" t="inlineStr">
        <is>
          <t>0.5</t>
        </is>
      </c>
      <c r="F18" s="3" t="inlineStr">
        <is>
          <t>mm</t>
        </is>
      </c>
      <c r="G18" s="3" t="inlineStr">
        <is>
          <t>铸造/焊接变形</t>
        </is>
      </c>
    </row>
    <row r="19">
      <c r="A19" s="3" t="inlineStr">
        <is>
          <t>旋转底座</t>
        </is>
      </c>
      <c r="B19" s="3" t="inlineStr">
        <is>
          <t>内壁侧隙</t>
        </is>
      </c>
      <c r="C19" s="3" t="inlineStr">
        <is>
          <t>c_gap</t>
        </is>
      </c>
      <c r="D19" s="3" t="inlineStr">
        <is>
          <t>2tol+c_asm+δ_th+δ_cast</t>
        </is>
      </c>
      <c r="E19" s="5">
        <f>ROUND(2*E15+E16+E17+E18,2)</f>
        <v/>
      </c>
      <c r="F19" s="3" t="inlineStr">
        <is>
          <t>mm</t>
        </is>
      </c>
      <c r="G19" s="3" t="inlineStr">
        <is>
          <t>由公差链算出</t>
        </is>
      </c>
    </row>
    <row r="20">
      <c r="A20" s="3" t="inlineStr">
        <is>
          <t>旋转底座</t>
        </is>
      </c>
      <c r="B20" s="3" t="inlineStr">
        <is>
          <t>包络1(蜗轮+丝杆)</t>
        </is>
      </c>
      <c r="C20" s="3" t="inlineStr">
        <is>
          <t>R_worm</t>
        </is>
      </c>
      <c r="D20" s="3" t="inlineStr">
        <is>
          <t>(a+r_s)+c_gap</t>
        </is>
      </c>
      <c r="E20" s="5">
        <f>(E47+E14)+E19</f>
        <v/>
      </c>
      <c r="F20" s="3" t="inlineStr">
        <is>
          <t>mm</t>
        </is>
      </c>
      <c r="G20" s="3" t="inlineStr">
        <is>
          <t>包住丝杆外缘</t>
        </is>
      </c>
    </row>
    <row r="21">
      <c r="A21" s="3" t="inlineStr">
        <is>
          <t>旋转底座</t>
        </is>
      </c>
      <c r="B21" s="3" t="inlineStr">
        <is>
          <t>包络2(摇臂摆动)</t>
        </is>
      </c>
      <c r="C21" s="3" t="inlineStr">
        <is>
          <t>R_arm</t>
        </is>
      </c>
      <c r="D21" s="3" t="inlineStr">
        <is>
          <t>L_arm+t_arm/2+c_gap</t>
        </is>
      </c>
      <c r="E21" s="5">
        <f>E54+E27/2+E19</f>
        <v/>
      </c>
      <c r="F21" s="3" t="inlineStr">
        <is>
          <t>mm</t>
        </is>
      </c>
      <c r="G21" s="3" t="inlineStr">
        <is>
          <t>摇臂在座内摆动</t>
        </is>
      </c>
    </row>
    <row r="22">
      <c r="A22" s="3" t="inlineStr">
        <is>
          <t>旋转底座</t>
        </is>
      </c>
      <c r="B22" s="3" t="inlineStr">
        <is>
          <t>壁厚</t>
        </is>
      </c>
      <c r="C22" s="3" t="inlineStr">
        <is>
          <t>t_wall</t>
        </is>
      </c>
      <c r="D22" s="3" t="inlineStr">
        <is>
          <t>MAX(3, 0.10×齿顶圆)+工艺1</t>
        </is>
      </c>
      <c r="E22" s="5">
        <f>ROUND(MAX(3,0.1*E50)+1,1)</f>
        <v/>
      </c>
      <c r="F22" s="3" t="inlineStr">
        <is>
          <t>mm</t>
        </is>
      </c>
      <c r="G22" s="3" t="inlineStr">
        <is>
          <t>强度规则+工艺余量</t>
        </is>
      </c>
    </row>
    <row r="23">
      <c r="A23" s="3" t="inlineStr">
        <is>
          <t>旋转底座</t>
        </is>
      </c>
      <c r="B23" s="3" t="inlineStr">
        <is>
          <t>内腔半径</t>
        </is>
      </c>
      <c r="C23" s="3" t="inlineStr">
        <is>
          <t>R_in</t>
        </is>
      </c>
      <c r="D23" s="3" t="inlineStr">
        <is>
          <t>MAX(包络1,包络2)</t>
        </is>
      </c>
      <c r="E23" s="5">
        <f>MAX(E20,E21)</f>
        <v/>
      </c>
      <c r="F23" s="3" t="inlineStr">
        <is>
          <t>mm</t>
        </is>
      </c>
      <c r="G23" s="3" t="inlineStr">
        <is>
          <t>取两者较大者</t>
        </is>
      </c>
    </row>
    <row r="24">
      <c r="A24" s="3" t="inlineStr">
        <is>
          <t>旋转底座</t>
        </is>
      </c>
      <c r="B24" s="3" t="inlineStr">
        <is>
          <t>外径</t>
        </is>
      </c>
      <c r="C24" s="3" t="inlineStr">
        <is>
          <t>Db</t>
        </is>
      </c>
      <c r="D24" s="3" t="inlineStr">
        <is>
          <t>2×(内腔半径+壁厚)</t>
        </is>
      </c>
      <c r="E24" s="5">
        <f>ROUND(2*(E23+E22),0)</f>
        <v/>
      </c>
      <c r="F24" s="3" t="inlineStr">
        <is>
          <t>mm</t>
        </is>
      </c>
      <c r="G24" s="3" t="inlineStr">
        <is>
          <t>向上取整</t>
        </is>
      </c>
    </row>
    <row r="25">
      <c r="A25" s="3" t="inlineStr">
        <is>
          <t>旋转底座</t>
        </is>
      </c>
      <c r="B25" s="3" t="inlineStr">
        <is>
          <t>摆动行程(高度向)</t>
        </is>
      </c>
      <c r="C25" s="3" t="inlineStr">
        <is>
          <t>h_sw</t>
        </is>
      </c>
      <c r="D25" s="3" t="inlineStr">
        <is>
          <t>2×L_arm×sin(β)</t>
        </is>
      </c>
      <c r="E25" s="5">
        <f>ROUND(2*E54*SIN(RADIANS(主参数!D23)),1)</f>
        <v/>
      </c>
      <c r="F25" s="3" t="inlineStr">
        <is>
          <t>mm</t>
        </is>
      </c>
      <c r="G25" s="3" t="inlineStr">
        <is>
          <t>摇臂±15° 的端部抬高</t>
        </is>
      </c>
    </row>
    <row r="26">
      <c r="A26" s="3" t="inlineStr">
        <is>
          <t>旋转底座</t>
        </is>
      </c>
      <c r="B26" s="3" t="inlineStr">
        <is>
          <t>轴向间隙</t>
        </is>
      </c>
      <c r="C26" s="3" t="inlineStr">
        <is>
          <t>g_ax</t>
        </is>
      </c>
      <c r="D26" s="3" t="inlineStr">
        <is>
          <t>输入</t>
        </is>
      </c>
      <c r="E26" s="4" t="inlineStr">
        <is>
          <t>0.5</t>
        </is>
      </c>
      <c r="F26" s="3" t="inlineStr">
        <is>
          <t>mm</t>
        </is>
      </c>
      <c r="G26" s="3" t="inlineStr">
        <is>
          <t>件间间隙</t>
        </is>
      </c>
    </row>
    <row r="27">
      <c r="A27" s="3" t="inlineStr">
        <is>
          <t>摇臂</t>
        </is>
      </c>
      <c r="B27" s="3" t="inlineStr">
        <is>
          <t>厚度</t>
        </is>
      </c>
      <c r="C27" s="3" t="inlineStr">
        <is>
          <t>t_arm</t>
        </is>
      </c>
      <c r="D27" s="3" t="inlineStr">
        <is>
          <t>输入</t>
        </is>
      </c>
      <c r="E27" s="4" t="inlineStr">
        <is>
          <t>10</t>
        </is>
      </c>
      <c r="F27" s="3" t="inlineStr">
        <is>
          <t>mm</t>
        </is>
      </c>
      <c r="G27" s="3" t="inlineStr">
        <is>
          <t>摆动件厚度</t>
        </is>
      </c>
    </row>
    <row r="28">
      <c r="A28" s="3" t="inlineStr">
        <is>
          <t>旋转底座</t>
        </is>
      </c>
      <c r="B28" s="3" t="inlineStr">
        <is>
          <t>端盖厚</t>
        </is>
      </c>
      <c r="C28" s="3" t="inlineStr">
        <is>
          <t>t_cap</t>
        </is>
      </c>
      <c r="D28" s="3" t="inlineStr">
        <is>
          <t>输入</t>
        </is>
      </c>
      <c r="E28" s="4" t="inlineStr">
        <is>
          <t>4</t>
        </is>
      </c>
      <c r="F28" s="3" t="inlineStr">
        <is>
          <t>mm</t>
        </is>
      </c>
      <c r="G28" s="3" t="inlineStr">
        <is>
          <t>上下端盖</t>
        </is>
      </c>
    </row>
    <row r="29">
      <c r="A29" s="3" t="inlineStr">
        <is>
          <t>旋转底座</t>
        </is>
      </c>
      <c r="B29" s="3" t="inlineStr">
        <is>
          <t>高度</t>
        </is>
      </c>
      <c r="C29" s="3" t="inlineStr">
        <is>
          <t>Hb</t>
        </is>
      </c>
      <c r="D29" s="3" t="inlineStr">
        <is>
          <t>bL+2t_arm+摆动行程+2t_cap+2间隙</t>
        </is>
      </c>
      <c r="E29" s="5">
        <f>ROUND(E51+2*E27+E25+2*E28+2*E26,0)</f>
        <v/>
      </c>
      <c r="F29" s="3" t="inlineStr">
        <is>
          <t>mm</t>
        </is>
      </c>
      <c r="G29" s="3" t="inlineStr">
        <is>
          <t>蜗轮+摇臂+摆动+端盖</t>
        </is>
      </c>
    </row>
    <row r="30">
      <c r="A30" s="3" t="inlineStr">
        <is>
          <t>蜗杆</t>
        </is>
      </c>
      <c r="B30" s="3" t="inlineStr">
        <is>
          <t>模数</t>
        </is>
      </c>
      <c r="C30" s="3" t="inlineStr">
        <is>
          <t>m1</t>
        </is>
      </c>
      <c r="D30" s="3" t="inlineStr">
        <is>
          <t>输入</t>
        </is>
      </c>
      <c r="E30" s="4" t="inlineStr">
        <is>
          <t>1</t>
        </is>
      </c>
      <c r="F30" s="3" t="inlineStr">
        <is>
          <t>mm</t>
        </is>
      </c>
      <c r="G30" s="3" t="inlineStr">
        <is>
          <t>与蜗轮同模数</t>
        </is>
      </c>
    </row>
    <row r="31">
      <c r="A31" s="3" t="inlineStr">
        <is>
          <t>蜗杆</t>
        </is>
      </c>
      <c r="B31" s="3" t="inlineStr">
        <is>
          <t>头数</t>
        </is>
      </c>
      <c r="C31" s="3" t="inlineStr">
        <is>
          <t>z1</t>
        </is>
      </c>
      <c r="D31" s="3" t="inlineStr">
        <is>
          <t>输入</t>
        </is>
      </c>
      <c r="E31" s="4" t="inlineStr">
        <is>
          <t>1</t>
        </is>
      </c>
      <c r="F31" s="3" t="inlineStr">
        <is>
          <t>头</t>
        </is>
      </c>
      <c r="G31" s="3" t="inlineStr">
        <is>
          <t>单头（利于自锁）</t>
        </is>
      </c>
    </row>
    <row r="32">
      <c r="A32" s="3" t="inlineStr">
        <is>
          <t>蜗杆</t>
        </is>
      </c>
      <c r="B32" s="3" t="inlineStr">
        <is>
          <t>分度圆直径</t>
        </is>
      </c>
      <c r="C32" s="3" t="inlineStr">
        <is>
          <t>d1</t>
        </is>
      </c>
      <c r="D32" s="3" t="inlineStr">
        <is>
          <t>q×m1</t>
        </is>
      </c>
      <c r="E32" s="5">
        <f>8*E30</f>
        <v/>
      </c>
      <c r="F32" s="3" t="inlineStr">
        <is>
          <t>mm</t>
        </is>
      </c>
      <c r="G32" s="3" t="inlineStr">
        <is>
          <t>q=8</t>
        </is>
      </c>
    </row>
    <row r="33">
      <c r="A33" s="3" t="inlineStr">
        <is>
          <t>蜗杆</t>
        </is>
      </c>
      <c r="B33" s="3" t="inlineStr">
        <is>
          <t>导程</t>
        </is>
      </c>
      <c r="C33" s="3" t="inlineStr">
        <is>
          <t>p1</t>
        </is>
      </c>
      <c r="D33" s="3" t="inlineStr">
        <is>
          <t>π×m1</t>
        </is>
      </c>
      <c r="E33" s="5">
        <f>PI()*E30</f>
        <v/>
      </c>
      <c r="F33" s="3" t="inlineStr">
        <is>
          <t>mm</t>
        </is>
      </c>
      <c r="G33" s="3">
        <f>3.14</f>
        <v/>
      </c>
    </row>
    <row r="34">
      <c r="A34" s="3" t="inlineStr">
        <is>
          <t>蜗杆</t>
        </is>
      </c>
      <c r="B34" s="3" t="inlineStr">
        <is>
          <t>导程角</t>
        </is>
      </c>
      <c r="C34" s="3" t="inlineStr">
        <is>
          <t>λ1</t>
        </is>
      </c>
      <c r="D34" s="3" t="inlineStr">
        <is>
          <t>arctan(p1/(π·d1))</t>
        </is>
      </c>
      <c r="E34" s="5">
        <f>DEGREES(ATAN(E33/(PI()*E32)))</f>
        <v/>
      </c>
      <c r="F34" s="3" t="inlineStr">
        <is>
          <t>°</t>
        </is>
      </c>
      <c r="G34" s="3" t="inlineStr">
        <is>
          <t>λ≤ρ 才自锁</t>
        </is>
      </c>
    </row>
    <row r="35">
      <c r="A35" s="3" t="inlineStr">
        <is>
          <t>蜗轮65</t>
        </is>
      </c>
      <c r="B35" s="3" t="inlineStr">
        <is>
          <t>齿数</t>
        </is>
      </c>
      <c r="C35" s="3" t="inlineStr">
        <is>
          <t>z2</t>
        </is>
      </c>
      <c r="D35" s="3" t="inlineStr">
        <is>
          <t>输入</t>
        </is>
      </c>
      <c r="E35" s="4" t="inlineStr">
        <is>
          <t>65</t>
        </is>
      </c>
      <c r="F35" s="3" t="inlineStr">
        <is>
          <t>齿</t>
        </is>
      </c>
      <c r="G35" s="3" t="inlineStr">
        <is>
          <t>输入</t>
        </is>
      </c>
    </row>
    <row r="36">
      <c r="A36" s="3" t="inlineStr">
        <is>
          <t>蜗轮65</t>
        </is>
      </c>
      <c r="B36" s="3" t="inlineStr">
        <is>
          <t>分度圆</t>
        </is>
      </c>
      <c r="C36" s="3" t="inlineStr">
        <is>
          <t>d2</t>
        </is>
      </c>
      <c r="D36" s="3" t="inlineStr">
        <is>
          <t>m1×z2</t>
        </is>
      </c>
      <c r="E36" s="5">
        <f>E30*E35</f>
        <v/>
      </c>
      <c r="F36" s="3" t="inlineStr">
        <is>
          <t>mm</t>
        </is>
      </c>
      <c r="G36" s="3" t="inlineStr">
        <is>
          <t>中心距=(d1+d2)/2</t>
        </is>
      </c>
    </row>
    <row r="37">
      <c r="A37" s="3" t="inlineStr">
        <is>
          <t>蜗轮65</t>
        </is>
      </c>
      <c r="B37" s="3" t="inlineStr">
        <is>
          <t>齿宽</t>
        </is>
      </c>
      <c r="C37" s="3" t="inlineStr">
        <is>
          <t>b2</t>
        </is>
      </c>
      <c r="D37" s="3" t="inlineStr">
        <is>
          <t>输入</t>
        </is>
      </c>
      <c r="E37" s="4" t="inlineStr">
        <is>
          <t>11.3</t>
        </is>
      </c>
      <c r="F37" s="3" t="inlineStr">
        <is>
          <t>mm</t>
        </is>
      </c>
      <c r="G37" s="3" t="inlineStr">
        <is>
          <t>输入</t>
        </is>
      </c>
    </row>
    <row r="38">
      <c r="A38" s="3" t="inlineStr">
        <is>
          <t>内齿52</t>
        </is>
      </c>
      <c r="B38" s="3" t="inlineStr">
        <is>
          <t>齿数</t>
        </is>
      </c>
      <c r="C38" s="3" t="inlineStr">
        <is>
          <t>z3</t>
        </is>
      </c>
      <c r="D38" s="3" t="inlineStr">
        <is>
          <t>输入</t>
        </is>
      </c>
      <c r="E38" s="4" t="inlineStr">
        <is>
          <t>52</t>
        </is>
      </c>
      <c r="F38" s="3" t="inlineStr">
        <is>
          <t>齿</t>
        </is>
      </c>
      <c r="G38" s="3" t="inlineStr">
        <is>
          <t>输入</t>
        </is>
      </c>
    </row>
    <row r="39">
      <c r="A39" s="3" t="inlineStr">
        <is>
          <t>齿轮20</t>
        </is>
      </c>
      <c r="B39" s="3" t="inlineStr">
        <is>
          <t>齿数</t>
        </is>
      </c>
      <c r="C39" s="3" t="inlineStr">
        <is>
          <t>z4</t>
        </is>
      </c>
      <c r="D39" s="3" t="inlineStr">
        <is>
          <t>输入</t>
        </is>
      </c>
      <c r="E39" s="4" t="inlineStr">
        <is>
          <t>20</t>
        </is>
      </c>
      <c r="F39" s="3" t="inlineStr">
        <is>
          <t>齿</t>
        </is>
      </c>
      <c r="G39" s="3" t="inlineStr">
        <is>
          <t>输入</t>
        </is>
      </c>
    </row>
    <row r="40">
      <c r="A40" s="3" t="inlineStr">
        <is>
          <t>齿轮副</t>
        </is>
      </c>
      <c r="B40" s="3" t="inlineStr">
        <is>
          <t>传动比</t>
        </is>
      </c>
      <c r="C40" s="3" t="inlineStr">
        <is>
          <t>i34</t>
        </is>
      </c>
      <c r="D40" s="3" t="inlineStr">
        <is>
          <t>z3/z4</t>
        </is>
      </c>
      <c r="E40" s="5">
        <f>E38/E39</f>
        <v/>
      </c>
      <c r="F40" s="3" t="inlineStr">
        <is>
          <t>-</t>
        </is>
      </c>
      <c r="G40" s="3">
        <f>2.6（增速）</f>
        <v/>
      </c>
    </row>
    <row r="41">
      <c r="A41" s="3" t="inlineStr">
        <is>
          <t>前段</t>
        </is>
      </c>
      <c r="B41" s="3" t="inlineStr">
        <is>
          <t>总传动比</t>
        </is>
      </c>
      <c r="C41" s="3" t="inlineStr">
        <is>
          <t>i1</t>
        </is>
      </c>
      <c r="D41" s="3" t="inlineStr">
        <is>
          <t>z2/i34</t>
        </is>
      </c>
      <c r="E41" s="5">
        <f>E35/E40</f>
        <v/>
      </c>
      <c r="F41" s="3" t="inlineStr">
        <is>
          <t>-</t>
        </is>
      </c>
      <c r="G41" s="3">
        <f>25（电机:丝杆）</f>
        <v/>
      </c>
    </row>
    <row r="42">
      <c r="A42" s="3" t="inlineStr">
        <is>
          <t>双向丝杆</t>
        </is>
      </c>
      <c r="B42" s="3" t="inlineStr">
        <is>
          <t>模数</t>
        </is>
      </c>
      <c r="C42" s="3" t="inlineStr">
        <is>
          <t>m_s</t>
        </is>
      </c>
      <c r="D42" s="3">
        <f>末级蜗轮模数</f>
        <v/>
      </c>
      <c r="E42" s="5">
        <f>E46</f>
        <v/>
      </c>
      <c r="F42" s="3" t="inlineStr">
        <is>
          <t>mm</t>
        </is>
      </c>
      <c r="G42" s="3" t="inlineStr">
        <is>
          <t>两者必须同模数</t>
        </is>
      </c>
    </row>
    <row r="43">
      <c r="A43" s="3" t="inlineStr">
        <is>
          <t>双向丝杆</t>
        </is>
      </c>
      <c r="B43" s="3" t="inlineStr">
        <is>
          <t>直径</t>
        </is>
      </c>
      <c r="C43" s="3" t="inlineStr">
        <is>
          <t>d_s</t>
        </is>
      </c>
      <c r="D43" s="3" t="inlineStr">
        <is>
          <t>输入</t>
        </is>
      </c>
      <c r="E43" s="4" t="inlineStr">
        <is>
          <t>8</t>
        </is>
      </c>
      <c r="F43" s="3" t="inlineStr">
        <is>
          <t>mm</t>
        </is>
      </c>
      <c r="G43" s="3" t="inlineStr">
        <is>
          <t>输入</t>
        </is>
      </c>
    </row>
    <row r="44">
      <c r="A44" s="3" t="inlineStr">
        <is>
          <t>双向丝杆</t>
        </is>
      </c>
      <c r="B44" s="3" t="inlineStr">
        <is>
          <t>轴向齿距</t>
        </is>
      </c>
      <c r="C44" s="3" t="inlineStr">
        <is>
          <t>p_s</t>
        </is>
      </c>
      <c r="D44" s="3" t="inlineStr">
        <is>
          <t>π×m_s</t>
        </is>
      </c>
      <c r="E44" s="5">
        <f>PI()*E46</f>
        <v/>
      </c>
      <c r="F44" s="3" t="inlineStr">
        <is>
          <t>mm</t>
        </is>
      </c>
      <c r="G44" s="3">
        <f>3.14</f>
        <v/>
      </c>
    </row>
    <row r="45">
      <c r="A45" s="3" t="inlineStr">
        <is>
          <t>双向丝杆</t>
        </is>
      </c>
      <c r="B45" s="3" t="inlineStr">
        <is>
          <t>每转位移</t>
        </is>
      </c>
      <c r="C45" s="3" t="inlineStr">
        <is>
          <t>s_rev</t>
        </is>
      </c>
      <c r="D45" s="3" t="inlineStr">
        <is>
          <t>p_s</t>
        </is>
      </c>
      <c r="E45" s="5">
        <f>PI()*E46</f>
        <v/>
      </c>
      <c r="F45" s="3" t="inlineStr">
        <is>
          <t>mm/转</t>
        </is>
      </c>
      <c r="G45" s="3" t="inlineStr">
        <is>
          <t>螺母直移量</t>
        </is>
      </c>
    </row>
    <row r="46">
      <c r="A46" s="3" t="inlineStr">
        <is>
          <t>末级蜗轮</t>
        </is>
      </c>
      <c r="B46" s="3" t="inlineStr">
        <is>
          <t>模数</t>
        </is>
      </c>
      <c r="C46" s="3" t="inlineStr">
        <is>
          <t>m2</t>
        </is>
      </c>
      <c r="D46" s="3" t="inlineStr">
        <is>
          <t>输入（补强）</t>
        </is>
      </c>
      <c r="E46" s="4" t="inlineStr">
        <is>
          <t>1.5</t>
        </is>
      </c>
      <c r="F46" s="3" t="inlineStr">
        <is>
          <t>mm</t>
        </is>
      </c>
      <c r="G46" s="3" t="inlineStr">
        <is>
          <t>输入</t>
        </is>
      </c>
    </row>
    <row r="47">
      <c r="A47" s="3" t="inlineStr">
        <is>
          <t>末级蜗轮</t>
        </is>
      </c>
      <c r="B47" s="3" t="inlineStr">
        <is>
          <t>中心距</t>
        </is>
      </c>
      <c r="C47" s="3" t="inlineStr">
        <is>
          <t>a</t>
        </is>
      </c>
      <c r="D47" s="3" t="inlineStr">
        <is>
          <t>输入：叶轴↔丝杆轴</t>
        </is>
      </c>
      <c r="E47" s="4" t="inlineStr">
        <is>
          <t>19</t>
        </is>
      </c>
      <c r="F47" s="3" t="inlineStr">
        <is>
          <t>mm</t>
        </is>
      </c>
      <c r="G47" s="3" t="inlineStr">
        <is>
          <t>输入</t>
        </is>
      </c>
    </row>
    <row r="48">
      <c r="A48" s="3" t="inlineStr">
        <is>
          <t>末级蜗轮</t>
        </is>
      </c>
      <c r="B48" s="3" t="inlineStr">
        <is>
          <t>分度圆</t>
        </is>
      </c>
      <c r="C48" s="3" t="inlineStr">
        <is>
          <t>d2L</t>
        </is>
      </c>
      <c r="D48" s="3" t="inlineStr">
        <is>
          <t>2a−d_s</t>
        </is>
      </c>
      <c r="E48" s="5">
        <f>2*E47-E43</f>
        <v/>
      </c>
      <c r="F48" s="3" t="inlineStr">
        <is>
          <t>mm</t>
        </is>
      </c>
      <c r="G48" s="3" t="inlineStr">
        <is>
          <t>被中心距锁定</t>
        </is>
      </c>
    </row>
    <row r="49">
      <c r="A49" s="3" t="inlineStr">
        <is>
          <t>末级蜗轮</t>
        </is>
      </c>
      <c r="B49" s="3" t="inlineStr">
        <is>
          <t>齿数</t>
        </is>
      </c>
      <c r="C49" s="3" t="inlineStr">
        <is>
          <t>zL</t>
        </is>
      </c>
      <c r="D49" s="3" t="inlineStr">
        <is>
          <t>d2L/m2</t>
        </is>
      </c>
      <c r="E49" s="5">
        <f>ROUND(E48/E46,0)</f>
        <v/>
      </c>
      <c r="F49" s="3" t="inlineStr">
        <is>
          <t>齿</t>
        </is>
      </c>
      <c r="G49" s="3">
        <f>round(d2/m)</f>
        <v/>
      </c>
    </row>
    <row r="50">
      <c r="A50" s="3" t="inlineStr">
        <is>
          <t>末级蜗轮</t>
        </is>
      </c>
      <c r="B50" s="3" t="inlineStr">
        <is>
          <t>齿顶圆</t>
        </is>
      </c>
      <c r="C50" s="3" t="inlineStr">
        <is>
          <t>daL</t>
        </is>
      </c>
      <c r="D50" s="3" t="inlineStr">
        <is>
          <t>d2L+2m2</t>
        </is>
      </c>
      <c r="E50" s="5">
        <f>E48+2*E46</f>
        <v/>
      </c>
      <c r="F50" s="3" t="inlineStr">
        <is>
          <t>mm</t>
        </is>
      </c>
      <c r="G50" s="3" t="inlineStr">
        <is>
          <t>决定底座内径</t>
        </is>
      </c>
    </row>
    <row r="51">
      <c r="A51" s="3" t="inlineStr">
        <is>
          <t>末级蜗轮</t>
        </is>
      </c>
      <c r="B51" s="3" t="inlineStr">
        <is>
          <t>齿宽</t>
        </is>
      </c>
      <c r="C51" s="3" t="inlineStr">
        <is>
          <t>bL</t>
        </is>
      </c>
      <c r="D51" s="3" t="inlineStr">
        <is>
          <t>输入（补强）</t>
        </is>
      </c>
      <c r="E51" s="4" t="inlineStr">
        <is>
          <t>20</t>
        </is>
      </c>
      <c r="F51" s="3" t="inlineStr">
        <is>
          <t>mm</t>
        </is>
      </c>
      <c r="G51" s="3" t="inlineStr">
        <is>
          <t>输入</t>
        </is>
      </c>
    </row>
    <row r="52">
      <c r="A52" s="3" t="inlineStr">
        <is>
          <t>末级蜗轮</t>
        </is>
      </c>
      <c r="B52" s="3" t="inlineStr">
        <is>
          <t>许用转角</t>
        </is>
      </c>
      <c r="C52" s="3" t="inlineStr">
        <is>
          <t>θ_w</t>
        </is>
      </c>
      <c r="D52" s="3" t="inlineStr">
        <is>
          <t>输入（蜗杆副包角）</t>
        </is>
      </c>
      <c r="E52" s="4" t="inlineStr">
        <is>
          <t>30</t>
        </is>
      </c>
      <c r="F52" s="3" t="inlineStr">
        <is>
          <t>°</t>
        </is>
      </c>
      <c r="G52" s="3" t="inlineStr">
        <is>
          <t>输入</t>
        </is>
      </c>
    </row>
    <row r="53">
      <c r="A53" s="3" t="inlineStr">
        <is>
          <t>摇臂</t>
        </is>
      </c>
      <c r="B53" s="3" t="inlineStr">
        <is>
          <t>杠杆长下限</t>
        </is>
      </c>
      <c r="C53" s="3" t="inlineStr">
        <is>
          <t>L_arm_min</t>
        </is>
      </c>
      <c r="D53" s="3" t="inlineStr">
        <is>
          <t>L_root·sin(β/2)/sin(θ_w/2)</t>
        </is>
      </c>
      <c r="E53" s="5">
        <f>ROUND(E56*SIN(RADIANS(主参数!D23/2))/SIN(RADIANS(E52/2)),1)</f>
        <v/>
      </c>
      <c r="F53" s="3" t="inlineStr">
        <is>
          <t>mm</t>
        </is>
      </c>
      <c r="G53" s="3" t="inlineStr">
        <is>
          <t>满足蜗轮转角限制</t>
        </is>
      </c>
    </row>
    <row r="54">
      <c r="A54" s="3" t="inlineStr">
        <is>
          <t>摇臂</t>
        </is>
      </c>
      <c r="B54" s="3" t="inlineStr">
        <is>
          <t>杠杆长</t>
        </is>
      </c>
      <c r="C54" s="3" t="inlineStr">
        <is>
          <t>L_arm</t>
        </is>
      </c>
      <c r="D54" s="3" t="inlineStr">
        <is>
          <t>取上限值并向上取整</t>
        </is>
      </c>
      <c r="E54" s="5">
        <f>ROUND(E53,0)</f>
        <v/>
      </c>
      <c r="F54" s="3" t="inlineStr">
        <is>
          <t>mm</t>
        </is>
      </c>
      <c r="G54" s="3" t="inlineStr">
        <is>
          <t>由行程匹配算出</t>
        </is>
      </c>
    </row>
    <row r="55">
      <c r="A55" s="3" t="inlineStr">
        <is>
          <t>末级</t>
        </is>
      </c>
      <c r="B55" s="3" t="inlineStr">
        <is>
          <t>蜗轮实际转角</t>
        </is>
      </c>
      <c r="C55" s="3" t="inlineStr">
        <is>
          <t>θ_w实</t>
        </is>
      </c>
      <c r="D55" s="3" t="inlineStr">
        <is>
          <t>2·asin(L_root·sin(β/2)/L_arm)</t>
        </is>
      </c>
      <c r="E55" s="5">
        <f>ROUND(2*DEGREES(ASIN(E56*SIN(RADIANS(主参数!D23/2))/E54)),1)</f>
        <v/>
      </c>
      <c r="F55" s="3" t="inlineStr">
        <is>
          <t>°</t>
        </is>
      </c>
      <c r="G55" s="3" t="inlineStr">
        <is>
          <t>与许用转角比较</t>
        </is>
      </c>
    </row>
    <row r="56">
      <c r="A56" s="3" t="inlineStr">
        <is>
          <t>叶根摇臂</t>
        </is>
      </c>
      <c r="B56" s="3" t="inlineStr">
        <is>
          <t>杠杆长</t>
        </is>
      </c>
      <c r="C56" s="3" t="inlineStr">
        <is>
          <t>L_root</t>
        </is>
      </c>
      <c r="D56" s="3" t="inlineStr">
        <is>
          <t>输入</t>
        </is>
      </c>
      <c r="E56" s="4" t="inlineStr">
        <is>
          <t>25</t>
        </is>
      </c>
      <c r="F56" s="3" t="inlineStr">
        <is>
          <t>mm</t>
        </is>
      </c>
      <c r="G56" s="3" t="inlineStr">
        <is>
          <t>输入</t>
        </is>
      </c>
    </row>
    <row r="57">
      <c r="A57" s="3" t="inlineStr">
        <is>
          <t>末级</t>
        </is>
      </c>
      <c r="B57" s="3" t="inlineStr">
        <is>
          <t>臂比</t>
        </is>
      </c>
      <c r="C57" s="3" t="inlineStr">
        <is>
          <t>kL</t>
        </is>
      </c>
      <c r="D57" s="3" t="inlineStr">
        <is>
          <t>L_arm/L_root</t>
        </is>
      </c>
      <c r="E57" s="5">
        <f>E54/E56</f>
        <v/>
      </c>
      <c r="F57" s="3" t="inlineStr">
        <is>
          <t>-</t>
        </is>
      </c>
      <c r="G57" s="3">
        <f>0.9 决定蜗轮受力</f>
        <v/>
      </c>
    </row>
    <row r="58">
      <c r="A58" s="3" t="inlineStr">
        <is>
          <t>末级</t>
        </is>
      </c>
      <c r="B58" s="3" t="inlineStr">
        <is>
          <t>传动比</t>
        </is>
      </c>
      <c r="C58" s="3" t="inlineStr">
        <is>
          <t>i2</t>
        </is>
      </c>
      <c r="D58" s="3" t="inlineStr">
        <is>
          <t>zL</t>
        </is>
      </c>
      <c r="E58" s="5">
        <f>E49</f>
        <v/>
      </c>
      <c r="F58" s="3" t="inlineStr">
        <is>
          <t>-</t>
        </is>
      </c>
      <c r="G58" s="3">
        <f>20</f>
        <v/>
      </c>
    </row>
    <row r="59">
      <c r="A59" s="3" t="inlineStr">
        <is>
          <t>末级</t>
        </is>
      </c>
      <c r="B59" s="3" t="inlineStr">
        <is>
          <t>总传动比</t>
        </is>
      </c>
      <c r="C59" s="3" t="inlineStr">
        <is>
          <t>i_tot</t>
        </is>
      </c>
      <c r="D59" s="3" t="inlineStr">
        <is>
          <t>i1×i2</t>
        </is>
      </c>
      <c r="E59" s="5">
        <f>E41*E49</f>
        <v/>
      </c>
      <c r="F59" s="3" t="inlineStr">
        <is>
          <t>-</t>
        </is>
      </c>
      <c r="G59" s="3">
        <f>500</f>
        <v/>
      </c>
    </row>
    <row r="60">
      <c r="A60" s="3" t="inlineStr">
        <is>
          <t>末级</t>
        </is>
      </c>
      <c r="B60" s="3" t="inlineStr">
        <is>
          <t>每脉冲角度</t>
        </is>
      </c>
      <c r="C60" s="3" t="inlineStr">
        <is>
          <t>dθ</t>
        </is>
      </c>
      <c r="D60" s="3" t="inlineStr">
        <is>
          <t>360/(i_tot·µ)</t>
        </is>
      </c>
      <c r="E60" s="5">
        <f>360/(E59*主参数!D25)</f>
        <v/>
      </c>
      <c r="F60" s="3" t="inlineStr">
        <is>
          <t>°</t>
        </is>
      </c>
      <c r="G60" s="3">
        <f>0.00045°</f>
        <v/>
      </c>
    </row>
    <row r="61">
      <c r="A61" s="3" t="inlineStr">
        <is>
          <t>末级</t>
        </is>
      </c>
      <c r="B61" s="3" t="inlineStr">
        <is>
          <t>0→15° 脉冲</t>
        </is>
      </c>
      <c r="C61" s="3" t="inlineStr">
        <is>
          <t>N15</t>
        </is>
      </c>
      <c r="D61" s="3" t="inlineStr">
        <is>
          <t>15/dθ</t>
        </is>
      </c>
      <c r="E61" s="5">
        <f>15/E60</f>
        <v/>
      </c>
      <c r="F61" s="3" t="inlineStr">
        <is>
          <t>个</t>
        </is>
      </c>
      <c r="G61" s="3">
        <f>33 333</f>
        <v/>
      </c>
    </row>
    <row r="62">
      <c r="A62" s="3" t="inlineStr">
        <is>
          <t>末级</t>
        </is>
      </c>
      <c r="B62" s="3" t="inlineStr">
        <is>
          <t>响应@20kHz</t>
        </is>
      </c>
      <c r="C62" s="3" t="inlineStr">
        <is>
          <t>t15</t>
        </is>
      </c>
      <c r="D62" s="3" t="inlineStr">
        <is>
          <t>N15/20000</t>
        </is>
      </c>
      <c r="E62" s="5">
        <f>E61/20000</f>
        <v/>
      </c>
      <c r="F62" s="3" t="inlineStr">
        <is>
          <t>s</t>
        </is>
      </c>
      <c r="G62" s="3">
        <f>1.67 s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14" customWidth="1" min="3" max="3"/>
    <col width="16" customWidth="1" min="4" max="4"/>
    <col width="16" customWidth="1" min="5" max="5"/>
    <col width="18" customWidth="1" min="6" max="6"/>
    <col width="18" customWidth="1" min="7" max="7"/>
  </cols>
  <sheetData>
    <row r="1">
      <c r="A1" s="1" t="inlineStr">
        <is>
          <t>零件配合关系与公差</t>
        </is>
      </c>
    </row>
    <row r="2">
      <c r="A2" s="2" t="inlineStr">
        <is>
          <t>序号</t>
        </is>
      </c>
      <c r="B2" s="2" t="inlineStr">
        <is>
          <t>配合部位</t>
        </is>
      </c>
      <c r="C2" s="2" t="inlineStr">
        <is>
          <t>件A</t>
        </is>
      </c>
      <c r="D2" s="2" t="inlineStr">
        <is>
          <t>件B</t>
        </is>
      </c>
      <c r="E2" s="2" t="inlineStr">
        <is>
          <t>配合性质</t>
        </is>
      </c>
      <c r="F2" s="2" t="inlineStr">
        <is>
          <t>间隙/过盈 mm</t>
        </is>
      </c>
      <c r="G2" s="2" t="inlineStr">
        <is>
          <t>依据</t>
        </is>
      </c>
    </row>
    <row r="3">
      <c r="A3" s="3" t="n">
        <v>1</v>
      </c>
      <c r="B3" s="3" t="inlineStr">
        <is>
          <t>蜗杆轴↔底座轴承孔</t>
        </is>
      </c>
      <c r="C3" s="3" t="inlineStr">
        <is>
          <t>⌀8 h6</t>
        </is>
      </c>
      <c r="D3" s="3" t="inlineStr">
        <is>
          <t>⌀8 H7</t>
        </is>
      </c>
      <c r="E3" s="3" t="inlineStr">
        <is>
          <t>间隙 H7/h6</t>
        </is>
      </c>
      <c r="F3" s="3" t="inlineStr">
        <is>
          <t>0.000~0.029</t>
        </is>
      </c>
      <c r="G3" s="3" t="inlineStr">
        <is>
          <t>转动副</t>
        </is>
      </c>
    </row>
    <row r="4">
      <c r="A4" s="3" t="n">
        <v>2</v>
      </c>
      <c r="B4" s="3" t="inlineStr">
        <is>
          <t>蜗轮65孔↔输出轴</t>
        </is>
      </c>
      <c r="C4" s="3" t="inlineStr">
        <is>
          <t>⌀10 H7</t>
        </is>
      </c>
      <c r="D4" s="3" t="inlineStr">
        <is>
          <t>⌀10 k6</t>
        </is>
      </c>
      <c r="E4" s="3" t="inlineStr">
        <is>
          <t>过渡 H7/k6</t>
        </is>
      </c>
      <c r="F4" s="3" t="inlineStr">
        <is>
          <t>-0.002~+0.015</t>
        </is>
      </c>
      <c r="G4" s="3" t="inlineStr">
        <is>
          <t>传扭矩</t>
        </is>
      </c>
    </row>
    <row r="5">
      <c r="A5" s="3" t="n">
        <v>3</v>
      </c>
      <c r="B5" s="3" t="inlineStr">
        <is>
          <t>内齿52↔蜗轮65</t>
        </is>
      </c>
      <c r="C5" s="3" t="inlineStr">
        <is>
          <t>同体</t>
        </is>
      </c>
      <c r="D5" s="3" t="inlineStr">
        <is>
          <t>同体</t>
        </is>
      </c>
      <c r="E5" s="3" t="inlineStr">
        <is>
          <t>刚性</t>
        </is>
      </c>
      <c r="F5" s="3" t="inlineStr">
        <is>
          <t>0</t>
        </is>
      </c>
      <c r="G5" s="3" t="inlineStr">
        <is>
          <t>同轴</t>
        </is>
      </c>
    </row>
    <row r="6">
      <c r="A6" s="3" t="n">
        <v>4</v>
      </c>
      <c r="B6" s="3" t="inlineStr">
        <is>
          <t>内齿52↔齿轮20</t>
        </is>
      </c>
      <c r="C6" s="3" t="inlineStr">
        <is>
          <t>z52 m1</t>
        </is>
      </c>
      <c r="D6" s="3" t="inlineStr">
        <is>
          <t>z20 m1</t>
        </is>
      </c>
      <c r="E6" s="3" t="inlineStr">
        <is>
          <t>内啮合</t>
        </is>
      </c>
      <c r="F6" s="3" t="inlineStr">
        <is>
          <t>中心距 16±0.05</t>
        </is>
      </c>
      <c r="G6" s="3" t="inlineStr">
        <is>
          <t>侧隙 0.05~0.15</t>
        </is>
      </c>
    </row>
    <row r="7">
      <c r="A7" s="3" t="n">
        <v>5</v>
      </c>
      <c r="B7" s="3" t="inlineStr">
        <is>
          <t>齿轮20↔双向丝杆</t>
        </is>
      </c>
      <c r="C7" s="3" t="inlineStr">
        <is>
          <t>⌀6 h6</t>
        </is>
      </c>
      <c r="D7" s="3" t="inlineStr">
        <is>
          <t>⌀6 H7</t>
        </is>
      </c>
      <c r="E7" s="3" t="inlineStr">
        <is>
          <t>间隙</t>
        </is>
      </c>
      <c r="F7" s="3" t="inlineStr">
        <is>
          <t>0.000~0.022</t>
        </is>
      </c>
      <c r="G7" s="3" t="inlineStr">
        <is>
          <t>同轴可拆</t>
        </is>
      </c>
    </row>
    <row r="8">
      <c r="A8" s="3" t="n">
        <v>6</v>
      </c>
      <c r="B8" s="3" t="inlineStr">
        <is>
          <t>双向丝杆↔末级蜗轮</t>
        </is>
      </c>
      <c r="C8" s="3" t="inlineStr">
        <is>
          <t>m1 单头</t>
        </is>
      </c>
      <c r="D8" s="3" t="inlineStr">
        <is>
          <t>z20 m1.5</t>
        </is>
      </c>
      <c r="E8" s="3" t="inlineStr">
        <is>
          <t>蜗杆副</t>
        </is>
      </c>
      <c r="F8" s="3" t="inlineStr">
        <is>
          <t>中心距 19±0.03</t>
        </is>
      </c>
      <c r="G8" s="3" t="inlineStr">
        <is>
          <t>侧隙 0.05~0.12</t>
        </is>
      </c>
    </row>
    <row r="9">
      <c r="A9" s="3" t="n">
        <v>7</v>
      </c>
      <c r="B9" s="3" t="inlineStr">
        <is>
          <t>末级蜗轮↔摇臂</t>
        </is>
      </c>
      <c r="C9" s="3" t="inlineStr">
        <is>
          <t>⌀10 H7</t>
        </is>
      </c>
      <c r="D9" s="3" t="inlineStr">
        <is>
          <t>⌀10 k6</t>
        </is>
      </c>
      <c r="E9" s="3" t="inlineStr">
        <is>
          <t>过渡</t>
        </is>
      </c>
      <c r="F9" s="3" t="inlineStr">
        <is>
          <t>-0.002~+0.015</t>
        </is>
      </c>
      <c r="G9" s="3" t="inlineStr">
        <is>
          <t>固连同转</t>
        </is>
      </c>
    </row>
    <row r="10">
      <c r="A10" s="3" t="n">
        <v>8</v>
      </c>
      <c r="B10" s="3" t="inlineStr">
        <is>
          <t>摇臂销↔叶根摇臂孔</t>
        </is>
      </c>
      <c r="C10" s="3" t="inlineStr">
        <is>
          <t>⌀4 g6</t>
        </is>
      </c>
      <c r="D10" s="3" t="inlineStr">
        <is>
          <t>⌀4 H7</t>
        </is>
      </c>
      <c r="E10" s="3" t="inlineStr">
        <is>
          <t>间隙 H7/g6</t>
        </is>
      </c>
      <c r="F10" s="3" t="inlineStr">
        <is>
          <t>0.005~0.023</t>
        </is>
      </c>
      <c r="G10" s="3" t="inlineStr">
        <is>
          <t>摆动副</t>
        </is>
      </c>
    </row>
    <row r="11">
      <c r="A11" s="3" t="n">
        <v>9</v>
      </c>
      <c r="B11" s="3" t="inlineStr">
        <is>
          <t>旋转底座↔滑车</t>
        </is>
      </c>
      <c r="C11" s="3" t="inlineStr">
        <is>
          <t>⌀31.5 H8</t>
        </is>
      </c>
      <c r="D11" s="3" t="inlineStr">
        <is>
          <t>⌀31.5 f7</t>
        </is>
      </c>
      <c r="E11" s="3" t="inlineStr">
        <is>
          <t>间隙</t>
        </is>
      </c>
      <c r="F11" s="3" t="inlineStr">
        <is>
          <t>0.020~0.076</t>
        </is>
      </c>
      <c r="G11" s="3" t="inlineStr">
        <is>
          <t>叶面角回转</t>
        </is>
      </c>
    </row>
    <row r="12">
      <c r="A12" s="3" t="n">
        <v>10</v>
      </c>
      <c r="B12" s="3" t="inlineStr">
        <is>
          <t>叶片端部↔底座内孔</t>
        </is>
      </c>
      <c r="C12" s="3" t="inlineStr">
        <is>
          <t>接头</t>
        </is>
      </c>
      <c r="D12" s="3" t="inlineStr">
        <is>
          <t>⌀43</t>
        </is>
      </c>
      <c r="E12" s="3" t="inlineStr">
        <is>
          <t>插接+销</t>
        </is>
      </c>
      <c r="F12" s="3" t="inlineStr">
        <is>
          <t>≤0.1</t>
        </is>
      </c>
      <c r="G12" s="3" t="inlineStr">
        <is>
          <t>传叶面角</t>
        </is>
      </c>
    </row>
    <row r="13">
      <c r="A13" s="3" t="n">
        <v>11</v>
      </c>
      <c r="B13" s="3" t="inlineStr">
        <is>
          <t>凸片↔凹片</t>
        </is>
      </c>
      <c r="C13" s="3" t="inlineStr">
        <is>
          <t>压带 1.5</t>
        </is>
      </c>
      <c r="D13" s="3" t="inlineStr">
        <is>
          <t>槽 2.1</t>
        </is>
      </c>
      <c r="E13" s="3" t="inlineStr">
        <is>
          <t>间隙装配</t>
        </is>
      </c>
      <c r="F13" s="3" t="inlineStr">
        <is>
          <t>0.3~0.6</t>
        </is>
      </c>
      <c r="G13" s="3" t="inlineStr">
        <is>
          <t>夹帆布 0.7</t>
        </is>
      </c>
    </row>
    <row r="14">
      <c r="A14" s="3" t="n">
        <v>12</v>
      </c>
      <c r="B14" s="3" t="inlineStr">
        <is>
          <t>螺丝 M3↔孔⌀3.4</t>
        </is>
      </c>
      <c r="C14" s="3" t="inlineStr">
        <is>
          <t>M3-A2</t>
        </is>
      </c>
      <c r="D14" s="3" t="inlineStr">
        <is>
          <t>⌀3.4</t>
        </is>
      </c>
      <c r="E14" s="3" t="inlineStr">
        <is>
          <t>间隙</t>
        </is>
      </c>
      <c r="F14" s="3" t="inlineStr">
        <is>
          <t>0.1~0.4</t>
        </is>
      </c>
      <c r="G14" s="3" t="inlineStr">
        <is>
          <t>16 孔</t>
        </is>
      </c>
    </row>
    <row r="15">
      <c r="A15" s="3" t="n">
        <v>13</v>
      </c>
      <c r="B15" s="3" t="inlineStr">
        <is>
          <t>轨道↔滚动轮</t>
        </is>
      </c>
      <c r="C15" s="3" t="inlineStr">
        <is>
          <t>槽宽 12</t>
        </is>
      </c>
      <c r="D15" s="3" t="inlineStr">
        <is>
          <t>轮宽 11.4</t>
        </is>
      </c>
      <c r="E15" s="3" t="inlineStr">
        <is>
          <t>间隙</t>
        </is>
      </c>
      <c r="F15" s="3" t="inlineStr">
        <is>
          <t>0.3~0.6</t>
        </is>
      </c>
      <c r="G15" s="3" t="inlineStr">
        <is>
          <t>滚动</t>
        </is>
      </c>
    </row>
    <row r="16">
      <c r="A16" s="3" t="n">
        <v>14</v>
      </c>
      <c r="B16" s="3" t="inlineStr">
        <is>
          <t>齿轮↔上下齿条</t>
        </is>
      </c>
      <c r="C16" s="3" t="inlineStr">
        <is>
          <t>齿宽 44</t>
        </is>
      </c>
      <c r="D16" s="3" t="inlineStr">
        <is>
          <t>间距 70</t>
        </is>
      </c>
      <c r="E16" s="3" t="inlineStr">
        <is>
          <t>双面啮合</t>
        </is>
      </c>
      <c r="F16" s="3" t="inlineStr">
        <is>
          <t>齿宽须≥70</t>
        </is>
      </c>
      <c r="G16" s="3" t="inlineStr">
        <is>
          <t>否则脱啮</t>
        </is>
      </c>
    </row>
    <row r="17">
      <c r="A17" s="3" t="n">
        <v>15</v>
      </c>
      <c r="B17" s="3" t="inlineStr">
        <is>
          <t>支柱↔基础</t>
        </is>
      </c>
      <c r="C17" s="3" t="inlineStr">
        <is>
          <t>底板</t>
        </is>
      </c>
      <c r="D17" s="3" t="inlineStr">
        <is>
          <t>M12 锚栓</t>
        </is>
      </c>
      <c r="E17" s="3" t="inlineStr">
        <is>
          <t>锚固</t>
        </is>
      </c>
      <c r="F17" s="3" t="inlineStr">
        <is>
          <t>预紧≥15 kN/个</t>
        </is>
      </c>
      <c r="G17" s="3" t="inlineStr">
        <is>
          <t>抗倾覆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26" customWidth="1" min="3" max="3"/>
    <col width="16" customWidth="1" min="4" max="4"/>
    <col width="30" customWidth="1" min="5" max="5"/>
  </cols>
  <sheetData>
    <row r="1">
      <c r="A1" s="1" t="inlineStr">
        <is>
          <t>参数传递链</t>
        </is>
      </c>
    </row>
    <row r="2">
      <c r="A2" s="2" t="inlineStr">
        <is>
          <t>层级</t>
        </is>
      </c>
      <c r="B2" s="2" t="inlineStr">
        <is>
          <t>上游参数</t>
        </is>
      </c>
      <c r="C2" s="2" t="inlineStr">
        <is>
          <t>传递公式</t>
        </is>
      </c>
      <c r="D2" s="2" t="inlineStr">
        <is>
          <t>下游参数</t>
        </is>
      </c>
      <c r="E2" s="2" t="inlineStr">
        <is>
          <t>连带影响</t>
        </is>
      </c>
    </row>
    <row r="3">
      <c r="A3" s="3" t="n">
        <v>1</v>
      </c>
      <c r="B3" s="3" t="inlineStr">
        <is>
          <t>轨道直径 D</t>
        </is>
      </c>
      <c r="C3" s="3" t="inlineStr">
        <is>
          <t>周长 = πD</t>
        </is>
      </c>
      <c r="D3" s="3" t="inlineStr">
        <is>
          <t>周长</t>
        </is>
      </c>
      <c r="E3" s="3" t="inlineStr">
        <is>
          <t>滑车数、叶片数、齿数、成本</t>
        </is>
      </c>
    </row>
    <row r="4">
      <c r="A4" s="3" t="n">
        <v>2</v>
      </c>
      <c r="B4" s="3" t="inlineStr">
        <is>
          <t>周长</t>
        </is>
      </c>
      <c r="C4" s="3" t="inlineStr">
        <is>
          <t>滑车数 = 周长/(1.2×弦)</t>
        </is>
      </c>
      <c r="D4" s="3" t="inlineStr">
        <is>
          <t>滑车数</t>
        </is>
      </c>
      <c r="E4" s="3" t="inlineStr">
        <is>
          <t>叶片数、电机数、发电机台数</t>
        </is>
      </c>
    </row>
    <row r="5">
      <c r="A5" s="3" t="n">
        <v>3</v>
      </c>
      <c r="B5" s="3" t="inlineStr">
        <is>
          <t>展向高 × 弦展比</t>
        </is>
      </c>
      <c r="C5" s="3" t="inlineStr">
        <is>
          <t>单叶面积 = 展×弦</t>
        </is>
      </c>
      <c r="D5" s="3" t="inlineStr">
        <is>
          <t>单叶面积</t>
        </is>
      </c>
      <c r="E5" s="3" t="inlineStr">
        <is>
          <t>功率、气动力矩、叶片框尺寸</t>
        </is>
      </c>
    </row>
    <row r="6">
      <c r="A6" s="3" t="n">
        <v>4</v>
      </c>
      <c r="B6" s="3" t="inlineStr">
        <is>
          <t>叶片数 × 单叶面积</t>
        </is>
      </c>
      <c r="C6" s="3" t="inlineStr">
        <is>
          <t>总叶面积</t>
        </is>
      </c>
      <c r="D6" s="3" t="inlineStr">
        <is>
          <t>总叶面积</t>
        </is>
      </c>
      <c r="E6" s="3" t="inlineStr">
        <is>
          <t>整机功率</t>
        </is>
      </c>
    </row>
    <row r="7">
      <c r="A7" s="3" t="n">
        <v>5</v>
      </c>
      <c r="B7" s="3" t="inlineStr">
        <is>
          <t>总叶面积 × V³</t>
        </is>
      </c>
      <c r="C7" s="3" t="inlineStr">
        <is>
          <t>P = 0.49·A·V³·ηm·ηg</t>
        </is>
      </c>
      <c r="D7" s="3" t="inlineStr">
        <is>
          <t>整机功率</t>
        </is>
      </c>
      <c r="E7" s="3" t="inlineStr">
        <is>
          <t>发电机选型、年发电量</t>
        </is>
      </c>
    </row>
    <row r="8">
      <c r="A8" s="3" t="n">
        <v>6</v>
      </c>
      <c r="B8" s="3" t="inlineStr">
        <is>
          <t>功率 ÷ 发电机台数</t>
        </is>
      </c>
      <c r="C8" s="3" t="inlineStr">
        <is>
          <t>单台功率</t>
        </is>
      </c>
      <c r="D8" s="3" t="inlineStr">
        <is>
          <t>发电机功率</t>
        </is>
      </c>
      <c r="E8" s="3" t="inlineStr">
        <is>
          <t>发电机单价、齿轮箱增速比</t>
        </is>
      </c>
    </row>
    <row r="9">
      <c r="A9" s="3" t="n">
        <v>7</v>
      </c>
      <c r="B9" s="3" t="inlineStr">
        <is>
          <t>气动力矩 M</t>
        </is>
      </c>
      <c r="C9" s="3" t="inlineStr">
        <is>
          <t>T = M×(L_arm/L_root)</t>
        </is>
      </c>
      <c r="D9" s="3" t="inlineStr">
        <is>
          <t>末级扭矩</t>
        </is>
      </c>
      <c r="E9" s="3" t="inlineStr">
        <is>
          <t>蜗轮模数/齿宽/材料</t>
        </is>
      </c>
    </row>
    <row r="10">
      <c r="A10" s="3" t="n">
        <v>8</v>
      </c>
      <c r="B10" s="3" t="inlineStr">
        <is>
          <t>中心距 a</t>
        </is>
      </c>
      <c r="C10" s="3" t="inlineStr">
        <is>
          <t>d₂ = 2a − d₁</t>
        </is>
      </c>
      <c r="D10" s="3" t="inlineStr">
        <is>
          <t>蜗轮分度圆</t>
        </is>
      </c>
      <c r="E10" s="3" t="inlineStr">
        <is>
          <t>齿数 z=d₂/m、齿顶圆、底座内径</t>
        </is>
      </c>
    </row>
    <row r="11">
      <c r="A11" s="3" t="n">
        <v>9</v>
      </c>
      <c r="B11" s="3" t="inlineStr">
        <is>
          <t>齿数 z × 模数 m</t>
        </is>
      </c>
      <c r="C11" s="3" t="inlineStr">
        <is>
          <t>i₂ = z</t>
        </is>
      </c>
      <c r="D11" s="3" t="inlineStr">
        <is>
          <t>末级传动比</t>
        </is>
      </c>
      <c r="E11" s="3" t="inlineStr">
        <is>
          <t>总传动比 i=25×z</t>
        </is>
      </c>
    </row>
    <row r="12">
      <c r="A12" s="3" t="n">
        <v>10</v>
      </c>
      <c r="B12" s="3" t="inlineStr">
        <is>
          <t>总传动比 × 细分</t>
        </is>
      </c>
      <c r="C12" s="3" t="inlineStr">
        <is>
          <t>每脉冲 = 360/(i·µ)</t>
        </is>
      </c>
      <c r="D12" s="3" t="inlineStr">
        <is>
          <t>每脉冲角度</t>
        </is>
      </c>
      <c r="E12" s="3" t="inlineStr">
        <is>
          <t>脉冲数、响应时间</t>
        </is>
      </c>
    </row>
    <row r="13">
      <c r="A13" s="3" t="n">
        <v>11</v>
      </c>
      <c r="B13" s="3" t="inlineStr">
        <is>
          <t>末级扭矩 ÷ i ÷ η</t>
        </is>
      </c>
      <c r="C13" s="3" t="inlineStr">
        <is>
          <t>电机需求扭矩</t>
        </is>
      </c>
      <c r="D13" s="3" t="inlineStr">
        <is>
          <t>电机扭矩</t>
        </is>
      </c>
      <c r="E13" s="3" t="inlineStr">
        <is>
          <t>电机型号选择</t>
        </is>
      </c>
    </row>
    <row r="14">
      <c r="A14" s="3" t="n">
        <v>12</v>
      </c>
      <c r="B14" s="3" t="inlineStr">
        <is>
          <t>蜗轮尺寸 × 许用应力</t>
        </is>
      </c>
      <c r="C14" s="3" t="inlineStr">
        <is>
          <t>齿根容许扭矩</t>
        </is>
      </c>
      <c r="D14" s="3" t="inlineStr">
        <is>
          <t>蜗轮容量</t>
        </is>
      </c>
      <c r="E14" s="3" t="inlineStr">
        <is>
          <t>安全系数 SF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22" customWidth="1" min="3" max="3"/>
    <col width="12" customWidth="1" min="4" max="4"/>
    <col width="12" customWidth="1" min="5" max="5"/>
    <col width="10" customWidth="1" min="6" max="6"/>
    <col width="18" customWidth="1" min="7" max="7"/>
  </cols>
  <sheetData>
    <row r="1">
      <c r="A1" s="1" t="inlineStr">
        <is>
          <t>设计校核</t>
        </is>
      </c>
    </row>
    <row r="2">
      <c r="A2" s="2" t="inlineStr">
        <is>
          <t>序号</t>
        </is>
      </c>
      <c r="B2" s="2" t="inlineStr">
        <is>
          <t>校核项</t>
        </is>
      </c>
      <c r="C2" s="2" t="inlineStr">
        <is>
          <t>公式</t>
        </is>
      </c>
      <c r="D2" s="2" t="inlineStr">
        <is>
          <t>许用值</t>
        </is>
      </c>
      <c r="E2" s="2" t="inlineStr">
        <is>
          <t>实际值</t>
        </is>
      </c>
      <c r="F2" s="2" t="inlineStr">
        <is>
          <t>安全系数</t>
        </is>
      </c>
      <c r="G2" s="2" t="inlineStr">
        <is>
          <t>结论</t>
        </is>
      </c>
    </row>
    <row r="3">
      <c r="A3" s="3" t="n">
        <v>1</v>
      </c>
      <c r="B3" s="3" t="inlineStr">
        <is>
          <t>叶面气动载荷</t>
        </is>
      </c>
      <c r="C3" s="3" t="inlineStr">
        <is>
          <t>F = ½ρV²·Cd·A总</t>
        </is>
      </c>
      <c r="D3" s="3" t="inlineStr">
        <is>
          <t>—</t>
        </is>
      </c>
      <c r="E3" s="3" t="n">
        <v>363</v>
      </c>
      <c r="F3" s="3" t="inlineStr">
        <is>
          <t>—</t>
        </is>
      </c>
      <c r="G3" s="3" t="inlineStr">
        <is>
          <t>20 m/s 工况</t>
        </is>
      </c>
    </row>
    <row r="4">
      <c r="A4" s="3" t="n">
        <v>2</v>
      </c>
      <c r="B4" s="3" t="inlineStr">
        <is>
          <t>叶轴角力矩</t>
        </is>
      </c>
      <c r="C4" s="3" t="inlineStr">
        <is>
          <t>M = q·Cm·A·c</t>
        </is>
      </c>
      <c r="D4" s="3" t="inlineStr">
        <is>
          <t>—</t>
        </is>
      </c>
      <c r="E4" s="3" t="n">
        <v>3.62</v>
      </c>
      <c r="F4" s="3" t="inlineStr">
        <is>
          <t>—</t>
        </is>
      </c>
      <c r="G4" s="3" t="inlineStr">
        <is>
          <t>Cm=0.05</t>
        </is>
      </c>
    </row>
    <row r="5">
      <c r="A5" s="3" t="n">
        <v>3</v>
      </c>
      <c r="B5" s="3" t="inlineStr">
        <is>
          <t>蜗轮65齿根</t>
        </is>
      </c>
      <c r="C5" s="3" t="inlineStr">
        <is>
          <t>σ = Wt/(b·m·Y)</t>
        </is>
      </c>
      <c r="D5" s="3" t="inlineStr">
        <is>
          <t>60 MPa</t>
        </is>
      </c>
      <c r="E5" s="3" t="n">
        <v>8.199999999999999</v>
      </c>
      <c r="F5" s="3" t="n">
        <v>7.3</v>
      </c>
      <c r="G5" s="3" t="inlineStr">
        <is>
          <t>合格（方案一）</t>
        </is>
      </c>
    </row>
    <row r="6">
      <c r="A6" s="3" t="n">
        <v>4</v>
      </c>
      <c r="B6" s="3" t="inlineStr">
        <is>
          <t>末级蜗轮齿根</t>
        </is>
      </c>
      <c r="C6" s="3" t="inlineStr">
        <is>
          <t>σ = Wt/(b·m·Y)</t>
        </is>
      </c>
      <c r="D6" s="3" t="inlineStr">
        <is>
          <t>150 MPa</t>
        </is>
      </c>
      <c r="E6" s="3" t="n">
        <v>76.40000000000001</v>
      </c>
      <c r="F6" s="3" t="n">
        <v>1.96</v>
      </c>
      <c r="G6" s="3" t="inlineStr">
        <is>
          <t>合格（补强后）</t>
        </is>
      </c>
    </row>
    <row r="7">
      <c r="A7" s="3" t="n">
        <v>5</v>
      </c>
      <c r="B7" s="3" t="inlineStr">
        <is>
          <t>丝杆自锁</t>
        </is>
      </c>
      <c r="C7" s="3" t="inlineStr">
        <is>
          <t>λ ≤ ρ</t>
        </is>
      </c>
      <c r="D7" s="3" t="inlineStr">
        <is>
          <t>ρ=5.7°</t>
        </is>
      </c>
      <c r="E7" s="3" t="n">
        <v>7.13</v>
      </c>
      <c r="F7" s="3" t="n">
        <v>0.8</v>
      </c>
      <c r="G7" s="3" t="inlineStr">
        <is>
          <t>不自锁 → 加制动器</t>
        </is>
      </c>
    </row>
    <row r="8">
      <c r="A8" s="3" t="n">
        <v>6</v>
      </c>
      <c r="B8" s="3" t="inlineStr">
        <is>
          <t>摇臂销剪切</t>
        </is>
      </c>
      <c r="C8" s="3" t="inlineStr">
        <is>
          <t>τ = F/A</t>
        </is>
      </c>
      <c r="D8" s="3" t="inlineStr">
        <is>
          <t>108 MPa</t>
        </is>
      </c>
      <c r="E8" s="3" t="n">
        <v>21.6</v>
      </c>
      <c r="F8" s="3" t="n">
        <v>5</v>
      </c>
      <c r="G8" s="3" t="inlineStr">
        <is>
          <t>合格</t>
        </is>
      </c>
    </row>
    <row r="9">
      <c r="A9" s="3" t="n">
        <v>7</v>
      </c>
      <c r="B9" s="3" t="inlineStr">
        <is>
          <t>叶片框螺丝剪切</t>
        </is>
      </c>
      <c r="C9" s="3" t="inlineStr">
        <is>
          <t>τ = F/(πd²/4)</t>
        </is>
      </c>
      <c r="D9" s="3" t="inlineStr">
        <is>
          <t>2121 N</t>
        </is>
      </c>
      <c r="E9" s="3" t="n">
        <v>108</v>
      </c>
      <c r="F9" s="3" t="n">
        <v>19.6</v>
      </c>
      <c r="G9" s="3" t="inlineStr">
        <is>
          <t>合格</t>
        </is>
      </c>
    </row>
    <row r="10">
      <c r="A10" s="3" t="n">
        <v>8</v>
      </c>
      <c r="B10" s="3" t="inlineStr">
        <is>
          <t>叶片框局部弯曲</t>
        </is>
      </c>
      <c r="C10" s="3" t="inlineStr">
        <is>
          <t>σ = 6M/(b·t²)</t>
        </is>
      </c>
      <c r="D10" s="3" t="inlineStr">
        <is>
          <t>138 MPa</t>
        </is>
      </c>
      <c r="E10" s="3" t="n">
        <v>27</v>
      </c>
      <c r="F10" s="3" t="n">
        <v>5.1</v>
      </c>
      <c r="G10" s="3" t="inlineStr">
        <is>
          <t>合格（叶根 6 mm）</t>
        </is>
      </c>
    </row>
    <row r="11">
      <c r="A11" s="3" t="n">
        <v>9</v>
      </c>
      <c r="B11" s="3" t="inlineStr">
        <is>
          <t>压带接触压强</t>
        </is>
      </c>
      <c r="C11" s="3" t="inlineStr">
        <is>
          <t>p = F/(b·L)</t>
        </is>
      </c>
      <c r="D11" s="3" t="inlineStr">
        <is>
          <t>24 MPa</t>
        </is>
      </c>
      <c r="E11" s="3" t="n">
        <v>3.7</v>
      </c>
      <c r="F11" s="3" t="n">
        <v>6.5</v>
      </c>
      <c r="G11" s="3" t="inlineStr">
        <is>
          <t>合格</t>
        </is>
      </c>
    </row>
    <row r="12">
      <c r="A12" s="3" t="n">
        <v>10</v>
      </c>
      <c r="B12" s="3" t="inlineStr">
        <is>
          <t>0→15° 响应</t>
        </is>
      </c>
      <c r="C12" s="3" t="inlineStr">
        <is>
          <t>t = N/ƒ</t>
        </is>
      </c>
      <c r="D12" s="3" t="inlineStr">
        <is>
          <t>≤2 s</t>
        </is>
      </c>
      <c r="E12" s="3" t="n">
        <v>1.67</v>
      </c>
      <c r="F12" s="3" t="n">
        <v>1.2</v>
      </c>
      <c r="G12" s="3" t="inlineStr">
        <is>
          <t>合格</t>
        </is>
      </c>
    </row>
    <row r="13">
      <c r="A13" s="3" t="n">
        <v>11</v>
      </c>
      <c r="B13" s="3" t="inlineStr">
        <is>
          <t>电机扭矩余量</t>
        </is>
      </c>
      <c r="C13" s="3" t="inlineStr">
        <is>
          <t>SF = T电机/T需求</t>
        </is>
      </c>
      <c r="D13" s="3" t="inlineStr">
        <is>
          <t>≥2</t>
        </is>
      </c>
      <c r="E13" s="3" t="n">
        <v>59</v>
      </c>
      <c r="F13" s="3" t="n">
        <v>59</v>
      </c>
      <c r="G13" s="3" t="inlineStr">
        <is>
          <t>合格</t>
        </is>
      </c>
    </row>
    <row r="14">
      <c r="A14" s="3" t="n">
        <v>12</v>
      </c>
      <c r="B14" s="3" t="inlineStr">
        <is>
          <t>丝杆临界转速</t>
        </is>
      </c>
      <c r="C14" s="3" t="inlineStr">
        <is>
          <t>n = D·λ·10⁷/L²</t>
        </is>
      </c>
      <c r="D14" s="3" t="inlineStr">
        <is>
          <t>0.8·n_c</t>
        </is>
      </c>
      <c r="E14" s="3" t="n">
        <v>42000</v>
      </c>
      <c r="F14" s="3" t="n">
        <v>2.1</v>
      </c>
      <c r="G14" s="3" t="inlineStr">
        <is>
          <t>合格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10" customWidth="1" min="3" max="3"/>
    <col width="26" customWidth="1" min="4" max="4"/>
    <col width="14" customWidth="1" min="5" max="5"/>
    <col width="8" customWidth="1" min="6" max="6"/>
    <col width="26" customWidth="1" min="7" max="7"/>
  </cols>
  <sheetData>
    <row r="1">
      <c r="A1" s="1" t="inlineStr">
        <is>
          <t>销槽几何（5 参数全部由上游参数推导）</t>
        </is>
      </c>
    </row>
    <row r="2">
      <c r="A2" s="2" t="inlineStr">
        <is>
          <t>序号</t>
        </is>
      </c>
      <c r="B2" s="2" t="inlineStr">
        <is>
          <t>参数</t>
        </is>
      </c>
      <c r="C2" s="2" t="inlineStr">
        <is>
          <t>符号</t>
        </is>
      </c>
      <c r="D2" s="2" t="inlineStr">
        <is>
          <t>计算公式</t>
        </is>
      </c>
      <c r="E2" s="2" t="inlineStr">
        <is>
          <t>数值</t>
        </is>
      </c>
      <c r="F2" s="2" t="inlineStr">
        <is>
          <t>单位</t>
        </is>
      </c>
      <c r="G2" s="2" t="inlineStr">
        <is>
          <t>约束/说明</t>
        </is>
      </c>
    </row>
    <row r="3">
      <c r="A3" s="3" t="n">
        <v>1</v>
      </c>
      <c r="B3" s="3" t="inlineStr">
        <is>
          <t>摇臂摆动半径</t>
        </is>
      </c>
      <c r="C3" s="3" t="inlineStr">
        <is>
          <t>R_sw</t>
        </is>
      </c>
      <c r="D3" s="3">
        <f> L_arm（摇臂长）</f>
        <v/>
      </c>
      <c r="E3" s="5">
        <f>零件设计参数!E54</f>
        <v/>
      </c>
      <c r="F3" s="3" t="inlineStr">
        <is>
          <t>mm</t>
        </is>
      </c>
      <c r="G3" s="3" t="inlineStr">
        <is>
          <t>由蜗轮转角与行程匹配算出</t>
        </is>
      </c>
    </row>
    <row r="4">
      <c r="A4" s="3" t="n">
        <v>2</v>
      </c>
      <c r="B4" s="3" t="inlineStr">
        <is>
          <t>销径（强度初选）</t>
        </is>
      </c>
      <c r="C4" s="3" t="inlineStr">
        <is>
          <t>d_pin_s</t>
        </is>
      </c>
      <c r="D4" s="3" t="inlineStr">
        <is>
          <t>MAX(4, √(F/(1.5·σ承压)))</t>
        </is>
      </c>
      <c r="E4" s="5">
        <f>MAX(4,ROUNDUP(SQRT(E8/(1.5*30)),0))</f>
        <v/>
      </c>
      <c r="F4" s="3" t="inlineStr">
        <is>
          <t>mm</t>
        </is>
      </c>
      <c r="G4" s="3" t="inlineStr">
        <is>
          <t>按衬套挤压强度</t>
        </is>
      </c>
    </row>
    <row r="5">
      <c r="A5" s="3" t="n">
        <v>3</v>
      </c>
      <c r="B5" s="3" t="inlineStr">
        <is>
          <t>销行程</t>
        </is>
      </c>
      <c r="C5" s="3" t="inlineStr">
        <is>
          <t>s_pin</t>
        </is>
      </c>
      <c r="D5" s="3" t="inlineStr">
        <is>
          <t>2·R_sw·sin(θ_w实/2)</t>
        </is>
      </c>
      <c r="E5" s="5">
        <f>ROUND(2*零件设计参数!E54*SIN(RADIANS(零件设计参数!E55/2)),1)</f>
        <v/>
      </c>
      <c r="F5" s="3" t="inlineStr">
        <is>
          <t>mm</t>
        </is>
      </c>
      <c r="G5" s="3" t="inlineStr">
        <is>
          <t>摇臂端部弧长</t>
        </is>
      </c>
    </row>
    <row r="6">
      <c r="A6" s="3" t="n">
        <v>4</v>
      </c>
      <c r="B6" s="3" t="inlineStr">
        <is>
          <t>直槽长度（强度）</t>
        </is>
      </c>
      <c r="C6" s="3" t="inlineStr">
        <is>
          <t>L_slot_s</t>
        </is>
      </c>
      <c r="D6" s="3" t="inlineStr">
        <is>
          <t>s_pin + 2·d_pin_s + 2</t>
        </is>
      </c>
      <c r="E6" s="5">
        <f>ROUND(E5+2*E4+2,0)</f>
        <v/>
      </c>
      <c r="F6" s="3" t="inlineStr">
        <is>
          <t>mm</t>
        </is>
      </c>
      <c r="G6" s="3" t="inlineStr">
        <is>
          <t>强度口径</t>
        </is>
      </c>
    </row>
    <row r="7">
      <c r="A7" s="3" t="n">
        <v>5</v>
      </c>
      <c r="B7" s="3" t="inlineStr">
        <is>
          <t>槽心距</t>
        </is>
      </c>
      <c r="C7" s="3" t="inlineStr">
        <is>
          <t>e_slot</t>
        </is>
      </c>
      <c r="D7" s="3" t="inlineStr">
        <is>
          <t>L_root·cos(β/2)</t>
        </is>
      </c>
      <c r="E7" s="5">
        <f>ROUND(零件设计参数!E56*COS(RADIANS(主参数!D23/2)),1)</f>
        <v/>
      </c>
      <c r="F7" s="3" t="inlineStr">
        <is>
          <t>mm</t>
        </is>
      </c>
      <c r="G7" s="3" t="inlineStr">
        <is>
          <t>中位时销到枢轴距离</t>
        </is>
      </c>
    </row>
    <row r="8">
      <c r="A8" s="3" t="n">
        <v>6</v>
      </c>
      <c r="B8" s="3" t="inlineStr">
        <is>
          <t>销受力</t>
        </is>
      </c>
      <c r="C8" s="3" t="inlineStr">
        <is>
          <t>F_pin</t>
        </is>
      </c>
      <c r="D8" s="3" t="inlineStr">
        <is>
          <t>T_wheel/L_arm</t>
        </is>
      </c>
      <c r="E8" s="5">
        <f>ROUND(3.62*零件设计参数!E57/(零件设计参数!E54/1000),0)</f>
        <v/>
      </c>
      <c r="F8" s="3" t="inlineStr">
        <is>
          <t>N</t>
        </is>
      </c>
      <c r="G8" s="3" t="inlineStr">
        <is>
          <t>末级蜗轮扭矩/臂长</t>
        </is>
      </c>
    </row>
    <row r="9">
      <c r="A9" s="3" t="n">
        <v>7</v>
      </c>
      <c r="B9" s="3" t="inlineStr">
        <is>
          <t>弹性模量</t>
        </is>
      </c>
      <c r="C9" s="3" t="inlineStr">
        <is>
          <t>E</t>
        </is>
      </c>
      <c r="D9" s="3" t="inlineStr">
        <is>
          <t>钢</t>
        </is>
      </c>
      <c r="E9" s="3" t="n">
        <v>206000</v>
      </c>
      <c r="F9" s="3" t="inlineStr">
        <is>
          <t>MPa</t>
        </is>
      </c>
      <c r="G9" s="3" t="inlineStr">
        <is>
          <t>输入</t>
        </is>
      </c>
    </row>
    <row r="10">
      <c r="A10" s="3" t="n">
        <v>8</v>
      </c>
      <c r="B10" s="3" t="inlineStr">
        <is>
          <t>销悬臂长</t>
        </is>
      </c>
      <c r="C10" s="3" t="inlineStr">
        <is>
          <t>L_pin</t>
        </is>
      </c>
      <c r="D10" s="3" t="inlineStr">
        <is>
          <t>输入</t>
        </is>
      </c>
      <c r="E10" s="3" t="n">
        <v>12</v>
      </c>
      <c r="F10" s="3" t="inlineStr">
        <is>
          <t>mm</t>
        </is>
      </c>
      <c r="G10" s="3" t="inlineStr">
        <is>
          <t>销受力点到支撑距离</t>
        </is>
      </c>
    </row>
    <row r="11">
      <c r="A11" s="3" t="n">
        <v>9</v>
      </c>
      <c r="B11" s="3" t="inlineStr">
        <is>
          <t>许用变形</t>
        </is>
      </c>
      <c r="C11" s="3" t="inlineStr">
        <is>
          <t>δ_allow</t>
        </is>
      </c>
      <c r="D11" s="3" t="inlineStr">
        <is>
          <t>输入（回差预算 1/3）</t>
        </is>
      </c>
      <c r="E11" s="3" t="n">
        <v>0.02</v>
      </c>
      <c r="F11" s="3" t="inlineStr">
        <is>
          <t>mm</t>
        </is>
      </c>
      <c r="G11" s="3" t="inlineStr">
        <is>
          <t>输入</t>
        </is>
      </c>
    </row>
    <row r="12">
      <c r="A12" s="3" t="n">
        <v>10</v>
      </c>
      <c r="B12" s="3" t="inlineStr">
        <is>
          <t>★销径（刚度定）</t>
        </is>
      </c>
      <c r="C12" s="3" t="inlineStr">
        <is>
          <t>d_pin</t>
        </is>
      </c>
      <c r="D12" s="3" t="inlineStr">
        <is>
          <t>(64·F·L³/(3·E·δ·π))^(1/4)</t>
        </is>
      </c>
      <c r="E12" s="5">
        <f>ROUNDUP((64*E8*E10^3/(3*E9*E11*PI()))^0.25,0)</f>
        <v/>
      </c>
      <c r="F12" s="3" t="inlineStr">
        <is>
          <t>mm</t>
        </is>
      </c>
      <c r="G12" s="3" t="inlineStr">
        <is>
          <t>刚度控制 → 最终销径</t>
        </is>
      </c>
    </row>
    <row r="13">
      <c r="A13" s="3" t="n">
        <v>11</v>
      </c>
      <c r="B13" s="3" t="inlineStr">
        <is>
          <t>摇臂弯曲变形</t>
        </is>
      </c>
      <c r="C13" s="3" t="inlineStr">
        <is>
          <t>δ_arm</t>
        </is>
      </c>
      <c r="D13" s="3" t="inlineStr">
        <is>
          <t>F·L_arm³/(3·E·I)</t>
        </is>
      </c>
      <c r="E13" s="5">
        <f>E8*(零件设计参数!E54)^3/(3*E9*((零件设计参数!E27*12^3)/12))</f>
        <v/>
      </c>
      <c r="F13" s="3" t="inlineStr">
        <is>
          <t>mm</t>
        </is>
      </c>
      <c r="G13" s="3" t="inlineStr">
        <is>
          <t>I = t·h³/12, h=12</t>
        </is>
      </c>
    </row>
    <row r="14">
      <c r="A14" s="3" t="n">
        <v>12</v>
      </c>
      <c r="B14" s="3" t="inlineStr">
        <is>
          <t>槽壁厚（承压）</t>
        </is>
      </c>
      <c r="C14" s="3" t="inlineStr">
        <is>
          <t>t_sw</t>
        </is>
      </c>
      <c r="D14" s="3" t="inlineStr">
        <is>
          <t>MAX(2, F/(2·σ承压·槽长))</t>
        </is>
      </c>
      <c r="E14" s="5">
        <f>MAX(2,ROUNDUP(E8/(2*30*E6),1))</f>
        <v/>
      </c>
      <c r="F14" s="3" t="inlineStr">
        <is>
          <t>mm</t>
        </is>
      </c>
      <c r="G14" s="3" t="inlineStr">
        <is>
          <t>承压控制，下限 2 mm</t>
        </is>
      </c>
    </row>
    <row r="15">
      <c r="A15" s="3" t="n">
        <v>13</v>
      </c>
      <c r="B15" s="3" t="inlineStr">
        <is>
          <t>★槽长（刚度后）</t>
        </is>
      </c>
      <c r="C15" s="3" t="inlineStr">
        <is>
          <t>L_slot</t>
        </is>
      </c>
      <c r="D15" s="3" t="inlineStr">
        <is>
          <t>s_pin + 2·d_pin + 2×2边缘</t>
        </is>
      </c>
      <c r="E15" s="5">
        <f>ROUND(E5+2*E10+4,0)</f>
        <v/>
      </c>
      <c r="F15" s="3" t="inlineStr">
        <is>
          <t>mm</t>
        </is>
      </c>
      <c r="G15" s="3" t="inlineStr">
        <is>
          <t>按刚度销径重算</t>
        </is>
      </c>
    </row>
    <row r="16">
      <c r="A16" s="3" t="n">
        <v>14</v>
      </c>
      <c r="B16" s="3" t="inlineStr">
        <is>
          <t>槽宽配合</t>
        </is>
      </c>
      <c r="C16" s="3" t="inlineStr">
        <is>
          <t>w_slot</t>
        </is>
      </c>
      <c r="D16" s="3" t="inlineStr">
        <is>
          <t>d_pin + 0.05（H7/g6）</t>
        </is>
      </c>
      <c r="E16" s="5">
        <f>E10+0.05</f>
        <v/>
      </c>
      <c r="F16" s="3" t="inlineStr">
        <is>
          <t>mm</t>
        </is>
      </c>
      <c r="G16" s="3" t="inlineStr">
        <is>
          <t>销-槽间隙 0.005~0.023</t>
        </is>
      </c>
    </row>
    <row r="17">
      <c r="A17" s="3" t="n">
        <v>15</v>
      </c>
      <c r="B17" s="3" t="inlineStr">
        <is>
          <t>叶片转角校核</t>
        </is>
      </c>
      <c r="C17" s="3" t="inlineStr">
        <is>
          <t>β_out</t>
        </is>
      </c>
      <c r="D17" s="3" t="inlineStr">
        <is>
          <t>2·asin(s_pin/(2·R_sw))</t>
        </is>
      </c>
      <c r="E17" s="5">
        <f>ROUND(DEGREES(2*ASIN(E5/(2*零件设计参数!E54))),1)</f>
        <v/>
      </c>
      <c r="F17" s="3" t="inlineStr">
        <is>
          <t>°</t>
        </is>
      </c>
      <c r="G17" s="3" t="inlineStr">
        <is>
          <t>应等于叶轴角 15°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18" customWidth="1" min="3" max="3"/>
    <col width="12" customWidth="1" min="4" max="4"/>
    <col width="8" customWidth="1" min="5" max="5"/>
    <col width="40" customWidth="1" min="6" max="6"/>
  </cols>
  <sheetData>
    <row r="1">
      <c r="A1" s="1" t="inlineStr">
        <is>
          <t>待定参数清单（不能确定的值全部以参数形式列出，改这里即可联动）</t>
        </is>
      </c>
    </row>
    <row r="2">
      <c r="A2" s="2" t="inlineStr">
        <is>
          <t>序号</t>
        </is>
      </c>
      <c r="B2" s="2" t="inlineStr">
        <is>
          <t>参数</t>
        </is>
      </c>
      <c r="C2" s="2" t="inlineStr">
        <is>
          <t>所在表</t>
        </is>
      </c>
      <c r="D2" s="2" t="inlineStr">
        <is>
          <t>当前值</t>
        </is>
      </c>
      <c r="E2" s="2" t="inlineStr">
        <is>
          <t>单位</t>
        </is>
      </c>
      <c r="F2" s="2" t="inlineStr">
        <is>
          <t>不确定原因 / 待确认内容</t>
        </is>
      </c>
    </row>
    <row r="3">
      <c r="A3" s="3" t="n">
        <v>1</v>
      </c>
      <c r="B3" s="3" t="inlineStr">
        <is>
          <t>蜗轮许用转角 θ_w</t>
        </is>
      </c>
      <c r="C3" s="3" t="inlineStr">
        <is>
          <t>零件设计参数!E52</t>
        </is>
      </c>
      <c r="D3" s="3" t="n">
        <v>30</v>
      </c>
      <c r="E3" s="3" t="inlineStr">
        <is>
          <t>°</t>
        </is>
      </c>
      <c r="F3" s="3" t="inlineStr">
        <is>
          <t>由蜗杆副包角决定（已确认 30°）</t>
        </is>
      </c>
    </row>
    <row r="4">
      <c r="A4" s="3" t="n">
        <v>2</v>
      </c>
      <c r="B4" s="3" t="inlineStr">
        <is>
          <t>末级模数 m2</t>
        </is>
      </c>
      <c r="C4" s="3" t="inlineStr">
        <is>
          <t>零件设计参数!E46</t>
        </is>
      </c>
      <c r="D4" s="3" t="n">
        <v>1.5</v>
      </c>
      <c r="E4" s="3" t="inlineStr">
        <is>
          <t>mm</t>
        </is>
      </c>
      <c r="F4" s="3" t="inlineStr">
        <is>
          <t>补强值，可调 1.0~2.0</t>
        </is>
      </c>
    </row>
    <row r="5">
      <c r="A5" s="3" t="n">
        <v>3</v>
      </c>
      <c r="B5" s="3" t="inlineStr">
        <is>
          <t>中心距 a</t>
        </is>
      </c>
      <c r="C5" s="3" t="inlineStr">
        <is>
          <t>零件设计参数!E47</t>
        </is>
      </c>
      <c r="D5" s="3" t="n">
        <v>19</v>
      </c>
      <c r="E5" s="3" t="inlineStr">
        <is>
          <t>mm</t>
        </is>
      </c>
      <c r="F5" s="3" t="inlineStr">
        <is>
          <t>叶轴↔丝杆轴间距，可调</t>
        </is>
      </c>
    </row>
    <row r="6">
      <c r="A6" s="3" t="n">
        <v>4</v>
      </c>
      <c r="B6" s="3" t="inlineStr">
        <is>
          <t>末级齿宽 bL</t>
        </is>
      </c>
      <c r="C6" s="3" t="inlineStr">
        <is>
          <t>零件设计参数!E51</t>
        </is>
      </c>
      <c r="D6" s="3" t="n">
        <v>20</v>
      </c>
      <c r="E6" s="3" t="inlineStr">
        <is>
          <t>mm</t>
        </is>
      </c>
      <c r="F6" s="3" t="inlineStr">
        <is>
          <t>补强值</t>
        </is>
      </c>
    </row>
    <row r="7">
      <c r="A7" s="3" t="n">
        <v>5</v>
      </c>
      <c r="B7" s="3" t="inlineStr">
        <is>
          <t>摇臂厚度 t_arm</t>
        </is>
      </c>
      <c r="C7" s="3" t="inlineStr">
        <is>
          <t>零件设计参数!E27</t>
        </is>
      </c>
      <c r="D7" s="3" t="n">
        <v>10</v>
      </c>
      <c r="E7" s="3" t="inlineStr">
        <is>
          <t>mm</t>
        </is>
      </c>
      <c r="F7" s="3" t="inlineStr">
        <is>
          <t>按刚度/工艺</t>
        </is>
      </c>
    </row>
    <row r="8">
      <c r="A8" s="3" t="n">
        <v>6</v>
      </c>
      <c r="B8" s="3" t="inlineStr">
        <is>
          <t>端盖厚 t_cap</t>
        </is>
      </c>
      <c r="C8" s="3" t="inlineStr">
        <is>
          <t>零件设计参数!E28</t>
        </is>
      </c>
      <c r="D8" s="3" t="n">
        <v>4</v>
      </c>
      <c r="E8" s="3" t="inlineStr">
        <is>
          <t>mm</t>
        </is>
      </c>
      <c r="F8" s="3" t="inlineStr">
        <is>
          <t>按轴承/密封</t>
        </is>
      </c>
    </row>
    <row r="9">
      <c r="A9" s="3" t="n">
        <v>7</v>
      </c>
      <c r="B9" s="3" t="inlineStr">
        <is>
          <t>加工公差 tol</t>
        </is>
      </c>
      <c r="C9" s="3" t="inlineStr">
        <is>
          <t>零件设计参数!E20</t>
        </is>
      </c>
      <c r="D9" s="3" t="n">
        <v>0.2</v>
      </c>
      <c r="E9" s="3" t="inlineStr">
        <is>
          <t>mm</t>
        </is>
      </c>
      <c r="F9" s="3" t="inlineStr">
        <is>
          <t>取决于加工等级，待定</t>
        </is>
      </c>
    </row>
    <row r="10">
      <c r="A10" s="3" t="n">
        <v>8</v>
      </c>
      <c r="B10" s="3" t="inlineStr">
        <is>
          <t>装配余量 c_asm</t>
        </is>
      </c>
      <c r="C10" s="3" t="inlineStr">
        <is>
          <t>零件设计参数!E21</t>
        </is>
      </c>
      <c r="D10" s="3" t="n">
        <v>0.5</v>
      </c>
      <c r="E10" s="3" t="inlineStr">
        <is>
          <t>mm</t>
        </is>
      </c>
      <c r="F10" s="3" t="inlineStr">
        <is>
          <t>装配工艺，待定</t>
        </is>
      </c>
    </row>
    <row r="11">
      <c r="A11" s="3" t="n">
        <v>9</v>
      </c>
      <c r="B11" s="3" t="inlineStr">
        <is>
          <t>铸件变形 δ_cast</t>
        </is>
      </c>
      <c r="C11" s="3" t="inlineStr">
        <is>
          <t>零件设计参数!E23</t>
        </is>
      </c>
      <c r="D11" s="3" t="n">
        <v>0.5</v>
      </c>
      <c r="E11" s="3" t="inlineStr">
        <is>
          <t>mm</t>
        </is>
      </c>
      <c r="F11" s="3" t="inlineStr">
        <is>
          <t>铸造/焊接工艺，待定</t>
        </is>
      </c>
    </row>
    <row r="12">
      <c r="A12" s="3" t="n">
        <v>10</v>
      </c>
      <c r="B12" s="3" t="inlineStr">
        <is>
          <t>摩擦系数 μ</t>
        </is>
      </c>
      <c r="C12" s="3" t="inlineStr">
        <is>
          <t>（校核用）</t>
        </is>
      </c>
      <c r="D12" s="3" t="n">
        <v>0.1</v>
      </c>
      <c r="E12" s="3" t="inlineStr">
        <is>
          <t>-</t>
        </is>
      </c>
      <c r="F12" s="3" t="inlineStr">
        <is>
          <t>钢-青铜，待实测</t>
        </is>
      </c>
    </row>
    <row r="13">
      <c r="A13" s="3" t="n">
        <v>11</v>
      </c>
      <c r="B13" s="3" t="inlineStr">
        <is>
          <t>阻力系数 Cd</t>
        </is>
      </c>
      <c r="C13" s="3" t="inlineStr">
        <is>
          <t>主参数!D17</t>
        </is>
      </c>
      <c r="D13" s="3" t="n">
        <v>1.2</v>
      </c>
      <c r="E13" s="3" t="inlineStr">
        <is>
          <t>-</t>
        </is>
      </c>
      <c r="F13" s="3" t="inlineStr">
        <is>
          <t>已确认 1.2；风洞标定可收窄误差</t>
        </is>
      </c>
    </row>
    <row r="14">
      <c r="A14" s="3" t="n">
        <v>12</v>
      </c>
      <c r="B14" s="3" t="inlineStr">
        <is>
          <t>帆面起弧弯度</t>
        </is>
      </c>
      <c r="C14" s="3" t="inlineStr">
        <is>
          <t>（气动模型）</t>
        </is>
      </c>
      <c r="D14" s="3" t="n">
        <v>8</v>
      </c>
      <c r="E14" s="3" t="inlineStr">
        <is>
          <t>°</t>
        </is>
      </c>
      <c r="F14" s="3" t="inlineStr">
        <is>
          <t>待风洞/实测标定</t>
        </is>
      </c>
    </row>
    <row r="15">
      <c r="A15" s="3" t="n">
        <v>13</v>
      </c>
      <c r="B15" s="3" t="inlineStr">
        <is>
          <t>帆布塌陷判据</t>
        </is>
      </c>
      <c r="C15" s="3" t="inlineStr">
        <is>
          <t>（气动模型）</t>
        </is>
      </c>
      <c r="D15" s="3" t="n">
        <v>-15</v>
      </c>
      <c r="E15" s="3" t="inlineStr">
        <is>
          <t>°</t>
        </is>
      </c>
      <c r="F15" s="3" t="inlineStr">
        <is>
          <t>背面受风坍塌阈值，待实测</t>
        </is>
      </c>
    </row>
    <row r="16">
      <c r="A16" s="3" t="n">
        <v>14</v>
      </c>
      <c r="B16" s="3" t="inlineStr">
        <is>
          <t>叶轴安装方向</t>
        </is>
      </c>
      <c r="C16" s="3" t="inlineStr">
        <is>
          <t>（气动模型）</t>
        </is>
      </c>
      <c r="D16" s="3" t="inlineStr">
        <is>
          <t>水平长轴</t>
        </is>
      </c>
      <c r="E16" s="3" t="inlineStr">
        <is>
          <t>-</t>
        </is>
      </c>
      <c r="F16" s="3" t="inlineStr">
        <is>
          <t>★ 决定叶轴角是否为桨距控制（关键待确认）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8" customWidth="1" min="3" max="3"/>
    <col width="24" customWidth="1" min="4" max="4"/>
    <col width="14" customWidth="1" min="5" max="5"/>
    <col width="8" customWidth="1" min="6" max="6"/>
    <col width="32" customWidth="1" min="7" max="7"/>
  </cols>
  <sheetData>
    <row r="1">
      <c r="A1" s="1" t="inlineStr">
        <is>
          <t>发电功率链：叶轴角 → 主轴扭矩 → 可带发电机台数 → 总功率</t>
        </is>
      </c>
    </row>
    <row r="2">
      <c r="A2" s="2" t="inlineStr">
        <is>
          <t>序号</t>
        </is>
      </c>
      <c r="B2" s="2" t="inlineStr">
        <is>
          <t>参数</t>
        </is>
      </c>
      <c r="C2" s="2" t="inlineStr">
        <is>
          <t>符号</t>
        </is>
      </c>
      <c r="D2" s="2" t="inlineStr">
        <is>
          <t>公式</t>
        </is>
      </c>
      <c r="E2" s="2" t="inlineStr">
        <is>
          <t>数值</t>
        </is>
      </c>
      <c r="F2" s="2" t="inlineStr">
        <is>
          <t>单位</t>
        </is>
      </c>
      <c r="G2" s="2" t="inlineStr">
        <is>
          <t>说明</t>
        </is>
      </c>
    </row>
    <row r="3">
      <c r="A3" s="3" t="n">
        <v>1</v>
      </c>
      <c r="B3" s="3" t="inlineStr">
        <is>
          <t>轨道直径</t>
        </is>
      </c>
      <c r="C3" s="3" t="inlineStr">
        <is>
          <t>D</t>
        </is>
      </c>
      <c r="D3" s="3">
        <f>主参数!D3</f>
        <v/>
      </c>
      <c r="E3" s="5">
        <f>主参数!D3</f>
        <v/>
      </c>
      <c r="F3" s="3" t="inlineStr">
        <is>
          <t>m</t>
        </is>
      </c>
      <c r="G3" s="3" t="inlineStr">
        <is>
          <t>输入</t>
        </is>
      </c>
    </row>
    <row r="4">
      <c r="A4" s="3" t="n">
        <v>2</v>
      </c>
      <c r="B4" s="3" t="inlineStr">
        <is>
          <t>轨道半径</t>
        </is>
      </c>
      <c r="C4" s="3" t="inlineStr">
        <is>
          <t>R</t>
        </is>
      </c>
      <c r="D4" s="3" t="inlineStr">
        <is>
          <t>D/2</t>
        </is>
      </c>
      <c r="E4" s="5">
        <f>E3/2</f>
        <v/>
      </c>
      <c r="F4" s="3" t="inlineStr">
        <is>
          <t>m</t>
        </is>
      </c>
      <c r="G4" s="3" t="inlineStr">
        <is>
          <t>力臂</t>
        </is>
      </c>
    </row>
    <row r="5">
      <c r="A5" s="3" t="n">
        <v>3</v>
      </c>
      <c r="B5" s="3" t="inlineStr">
        <is>
          <t>叶片数</t>
        </is>
      </c>
      <c r="C5" s="3" t="inlineStr">
        <is>
          <t>n_bl</t>
        </is>
      </c>
      <c r="D5" s="3">
        <f>主参数</f>
        <v/>
      </c>
      <c r="E5" s="5">
        <f>主参数!D12</f>
        <v/>
      </c>
      <c r="F5" s="3" t="inlineStr">
        <is>
          <t>片</t>
        </is>
      </c>
      <c r="G5" s="3" t="inlineStr">
        <is>
          <t>联动</t>
        </is>
      </c>
    </row>
    <row r="6">
      <c r="A6" s="3" t="n">
        <v>4</v>
      </c>
      <c r="B6" s="3" t="inlineStr">
        <is>
          <t>单叶切向力</t>
        </is>
      </c>
      <c r="C6" s="3" t="inlineStr">
        <is>
          <t>F_t</t>
        </is>
      </c>
      <c r="D6" s="3" t="inlineStr">
        <is>
          <t>输入（气动/实测）</t>
        </is>
      </c>
      <c r="E6" s="3" t="n">
        <v>40</v>
      </c>
      <c r="F6" s="3" t="inlineStr">
        <is>
          <t>N</t>
        </is>
      </c>
      <c r="G6" s="3" t="inlineStr">
        <is>
          <t>★需标定：随叶轴角变化</t>
        </is>
      </c>
    </row>
    <row r="7">
      <c r="A7" s="3" t="n">
        <v>5</v>
      </c>
      <c r="B7" s="3" t="inlineStr">
        <is>
          <t>总切向力</t>
        </is>
      </c>
      <c r="C7" s="3" t="inlineStr">
        <is>
          <t>F_tot</t>
        </is>
      </c>
      <c r="D7" s="3" t="inlineStr">
        <is>
          <t>n_bl × F_t</t>
        </is>
      </c>
      <c r="E7" s="5">
        <f>E6*E5</f>
        <v/>
      </c>
      <c r="F7" s="3" t="inlineStr">
        <is>
          <t>N</t>
        </is>
      </c>
      <c r="G7" s="3" t="inlineStr">
        <is>
          <t>全部叶片合计</t>
        </is>
      </c>
    </row>
    <row r="8">
      <c r="A8" s="3" t="n">
        <v>6</v>
      </c>
      <c r="B8" s="3" t="inlineStr">
        <is>
          <t>主轴扭矩</t>
        </is>
      </c>
      <c r="C8" s="3" t="inlineStr">
        <is>
          <t>T_main</t>
        </is>
      </c>
      <c r="D8" s="3" t="inlineStr">
        <is>
          <t>F_tot × R</t>
        </is>
      </c>
      <c r="E8" s="5">
        <f>E7*E4</f>
        <v/>
      </c>
      <c r="F8" s="3" t="inlineStr">
        <is>
          <t>N·m</t>
        </is>
      </c>
      <c r="G8" s="3" t="inlineStr">
        <is>
          <t>轨道中心扭矩</t>
        </is>
      </c>
    </row>
    <row r="9">
      <c r="A9" s="3" t="n">
        <v>7</v>
      </c>
      <c r="B9" s="3" t="inlineStr">
        <is>
          <t>单台发电机额定扭矩</t>
        </is>
      </c>
      <c r="C9" s="3" t="inlineStr">
        <is>
          <t>T_gen</t>
        </is>
      </c>
      <c r="D9" s="3" t="inlineStr">
        <is>
          <t>输入（实测/铭牌）</t>
        </is>
      </c>
      <c r="E9" s="3" t="n">
        <v>60</v>
      </c>
      <c r="F9" s="3" t="inlineStr">
        <is>
          <t>N·m</t>
        </is>
      </c>
      <c r="G9" s="3" t="inlineStr">
        <is>
          <t>★每台所需扭矩</t>
        </is>
      </c>
    </row>
    <row r="10">
      <c r="A10" s="3" t="n">
        <v>8</v>
      </c>
      <c r="B10" s="3" t="inlineStr">
        <is>
          <t>发电机转速</t>
        </is>
      </c>
      <c r="C10" s="3" t="inlineStr">
        <is>
          <t>n_gen</t>
        </is>
      </c>
      <c r="D10" s="3" t="inlineStr">
        <is>
          <t>输入</t>
        </is>
      </c>
      <c r="E10" s="3" t="n">
        <v>100</v>
      </c>
      <c r="F10" s="3" t="inlineStr">
        <is>
          <t>r/min</t>
        </is>
      </c>
      <c r="G10" s="3" t="inlineStr">
        <is>
          <t>额定转速</t>
        </is>
      </c>
    </row>
    <row r="11">
      <c r="A11" s="3" t="n">
        <v>9</v>
      </c>
      <c r="B11" s="3" t="inlineStr">
        <is>
          <t>单台功率</t>
        </is>
      </c>
      <c r="C11" s="3" t="inlineStr">
        <is>
          <t>P_gen</t>
        </is>
      </c>
      <c r="D11" s="3" t="inlineStr">
        <is>
          <t>T_gen×2πn/60</t>
        </is>
      </c>
      <c r="E11" s="5">
        <f>ROUND(E9*2*PI()*E10/60000,3)</f>
        <v/>
      </c>
      <c r="F11" s="3" t="inlineStr">
        <is>
          <t>kW</t>
        </is>
      </c>
      <c r="G11" s="3" t="inlineStr">
        <is>
          <t>由扭矩与转速算出</t>
        </is>
      </c>
    </row>
    <row r="12">
      <c r="A12" s="3" t="n">
        <v>10</v>
      </c>
      <c r="B12" s="3" t="inlineStr">
        <is>
          <t>可带台数（β=0）</t>
        </is>
      </c>
      <c r="C12" s="3" t="inlineStr">
        <is>
          <t>N0</t>
        </is>
      </c>
      <c r="D12" s="3" t="inlineStr">
        <is>
          <t>FLOOR(T_main/T_gen)</t>
        </is>
      </c>
      <c r="E12" s="5">
        <f>FLOOR(E8/E9,1)</f>
        <v/>
      </c>
      <c r="F12" s="3" t="inlineStr">
        <is>
          <t>台</t>
        </is>
      </c>
      <c r="G12" s="3" t="inlineStr">
        <is>
          <t>向下取整</t>
        </is>
      </c>
    </row>
    <row r="13">
      <c r="A13" s="3" t="n">
        <v>11</v>
      </c>
      <c r="B13" s="3" t="inlineStr">
        <is>
          <t>总功率（β=0）</t>
        </is>
      </c>
      <c r="C13" s="3" t="inlineStr">
        <is>
          <t>P0</t>
        </is>
      </c>
      <c r="D13" s="3" t="inlineStr">
        <is>
          <t>N0 × P_gen</t>
        </is>
      </c>
      <c r="E13" s="5">
        <f>ROUND(E12*E11,2)</f>
        <v/>
      </c>
      <c r="F13" s="3" t="inlineStr">
        <is>
          <t>kW</t>
        </is>
      </c>
      <c r="G13" s="3" t="inlineStr">
        <is>
          <t>基准</t>
        </is>
      </c>
    </row>
    <row r="14">
      <c r="A14" s="3" t="n">
        <v>12</v>
      </c>
      <c r="B14" s="3" t="inlineStr">
        <is>
          <t>叶轴角</t>
        </is>
      </c>
      <c r="C14" s="3" t="inlineStr">
        <is>
          <t>β</t>
        </is>
      </c>
      <c r="D14" s="3">
        <f>主参数!D23</f>
        <v/>
      </c>
      <c r="E14" s="5">
        <f>主参数!D23</f>
        <v/>
      </c>
      <c r="F14" s="3" t="inlineStr">
        <is>
          <t>°</t>
        </is>
      </c>
      <c r="G14" s="3" t="inlineStr">
        <is>
          <t>输入</t>
        </is>
      </c>
    </row>
    <row r="15">
      <c r="A15" s="3" t="n">
        <v>13</v>
      </c>
      <c r="B15" s="3" t="inlineStr">
        <is>
          <t>扭矩增益系数</t>
        </is>
      </c>
      <c r="C15" s="3" t="inlineStr">
        <is>
          <t>k_β</t>
        </is>
      </c>
      <c r="D15" s="3" t="inlineStr">
        <is>
          <t>输入（每 10° 提高多少）</t>
        </is>
      </c>
      <c r="E15" s="3" t="n">
        <v>0.11</v>
      </c>
      <c r="F15" s="3" t="inlineStr">
        <is>
          <t>-</t>
        </is>
      </c>
      <c r="G15" s="3" t="inlineStr">
        <is>
          <t>★需标定：你的例子=0.11</t>
        </is>
      </c>
    </row>
    <row r="16">
      <c r="A16" s="3" t="n">
        <v>14</v>
      </c>
      <c r="B16" s="3" t="inlineStr">
        <is>
          <t>增益后扭矩</t>
        </is>
      </c>
      <c r="C16" s="3" t="inlineStr">
        <is>
          <t>T_β</t>
        </is>
      </c>
      <c r="D16" s="3" t="inlineStr">
        <is>
          <t>T_main×(1+k_β×β/10)</t>
        </is>
      </c>
      <c r="E16" s="5">
        <f>E8*(1+E15*E14/10)</f>
        <v/>
      </c>
      <c r="F16" s="3" t="inlineStr">
        <is>
          <t>N·m</t>
        </is>
      </c>
      <c r="G16" s="3" t="inlineStr">
        <is>
          <t>叶轴角带来的扭矩提升</t>
        </is>
      </c>
    </row>
    <row r="17">
      <c r="A17" s="3" t="n">
        <v>15</v>
      </c>
      <c r="B17" s="3" t="inlineStr">
        <is>
          <t>可带台数（增益后）</t>
        </is>
      </c>
      <c r="C17" s="3" t="inlineStr">
        <is>
          <t>N_β</t>
        </is>
      </c>
      <c r="D17" s="3" t="inlineStr">
        <is>
          <t>FLOOR(T_β/T_gen)</t>
        </is>
      </c>
      <c r="E17" s="5">
        <f>FLOOR(E16/E9,1)</f>
        <v/>
      </c>
      <c r="F17" s="3" t="inlineStr">
        <is>
          <t>台</t>
        </is>
      </c>
      <c r="G17" s="3" t="inlineStr">
        <is>
          <t>台数增加</t>
        </is>
      </c>
    </row>
    <row r="18">
      <c r="A18" s="3" t="n">
        <v>16</v>
      </c>
      <c r="B18" s="3" t="inlineStr">
        <is>
          <t>总功率（增益后）</t>
        </is>
      </c>
      <c r="C18" s="3" t="inlineStr">
        <is>
          <t>P_β</t>
        </is>
      </c>
      <c r="D18" s="3" t="inlineStr">
        <is>
          <t>N_β × P_gen</t>
        </is>
      </c>
      <c r="E18" s="5">
        <f>ROUND(E17*E11,2)</f>
        <v/>
      </c>
      <c r="F18" s="3" t="inlineStr">
        <is>
          <t>kW</t>
        </is>
      </c>
      <c r="G18" s="3" t="inlineStr">
        <is>
          <t>功率提升</t>
        </is>
      </c>
    </row>
    <row r="19">
      <c r="A19" s="3" t="n">
        <v>17</v>
      </c>
      <c r="B19" s="3" t="inlineStr">
        <is>
          <t>★功率提升</t>
        </is>
      </c>
      <c r="C19" s="3" t="inlineStr">
        <is>
          <t>ΔP</t>
        </is>
      </c>
      <c r="D19" s="3" t="inlineStr">
        <is>
          <t>P_β/P0 − 1</t>
        </is>
      </c>
      <c r="E19" s="5">
        <f>IF(E13=0,"—",E18/E13-1)</f>
        <v/>
      </c>
      <c r="F19" s="3" t="inlineStr">
        <is>
          <t>-</t>
        </is>
      </c>
      <c r="G19" s="3" t="inlineStr">
        <is>
          <t>相对 β=0</t>
        </is>
      </c>
    </row>
    <row r="20">
      <c r="A20" s="3" t="n"/>
      <c r="B20" s="6" t="inlineStr">
        <is>
          <t>敏感性：扭矩增益系数 k_β 对功率的影响（基准 3 台）</t>
        </is>
      </c>
      <c r="C20" s="3" t="n"/>
      <c r="D20" s="3" t="n"/>
      <c r="E20" s="3" t="n"/>
      <c r="F20" s="3" t="n"/>
      <c r="G20" s="3" t="n"/>
    </row>
    <row r="22">
      <c r="A22" s="2" t="inlineStr">
        <is>
          <t>k_β（每10°）</t>
        </is>
      </c>
      <c r="B22" s="2" t="inlineStr">
        <is>
          <t>β=15° 扭矩增益</t>
        </is>
      </c>
      <c r="C22" s="2" t="inlineStr">
        <is>
          <t>β=30° 扭矩增益</t>
        </is>
      </c>
      <c r="D22" s="2" t="inlineStr">
        <is>
          <t>台数(基准3)</t>
        </is>
      </c>
      <c r="E22" s="2" t="inlineStr">
        <is>
          <t>β=30° 后台数</t>
        </is>
      </c>
      <c r="F22" s="2" t="inlineStr">
        <is>
          <t>功率变化</t>
        </is>
      </c>
    </row>
    <row r="23">
      <c r="A23" s="3" t="n">
        <v>0.05</v>
      </c>
      <c r="B23" s="3">
        <f>1+0.05*15/10</f>
        <v/>
      </c>
      <c r="C23" s="3">
        <f>1+0.05*30/10</f>
        <v/>
      </c>
      <c r="D23" s="3" t="n">
        <v>3</v>
      </c>
      <c r="E23" s="5">
        <f>FLOOR(3*(1+0.05*30/10),1)</f>
        <v/>
      </c>
      <c r="F23" s="5">
        <f>FLOOR(3*(1+0.05*30/10),1)/3-1</f>
        <v/>
      </c>
    </row>
    <row r="24">
      <c r="A24" s="3" t="n">
        <v>0.11</v>
      </c>
      <c r="B24" s="3">
        <f>1+0.11*15/10</f>
        <v/>
      </c>
      <c r="C24" s="3">
        <f>1+0.11*30/10</f>
        <v/>
      </c>
      <c r="D24" s="3" t="n">
        <v>3</v>
      </c>
      <c r="E24" s="5">
        <f>FLOOR(3*(1+0.11*30/10),1)</f>
        <v/>
      </c>
      <c r="F24" s="5">
        <f>FLOOR(3*(1+0.11*30/10),1)/3-1</f>
        <v/>
      </c>
    </row>
    <row r="25">
      <c r="A25" s="3" t="n">
        <v>0.2</v>
      </c>
      <c r="B25" s="3">
        <f>1+0.2*15/10</f>
        <v/>
      </c>
      <c r="C25" s="3">
        <f>1+0.2*30/10</f>
        <v/>
      </c>
      <c r="D25" s="3" t="n">
        <v>3</v>
      </c>
      <c r="E25" s="5">
        <f>FLOOR(3*(1+0.2*30/10),1)</f>
        <v/>
      </c>
      <c r="F25" s="5">
        <f>FLOOR(3*(1+0.2*30/10),1)/3-1</f>
        <v/>
      </c>
    </row>
    <row r="26">
      <c r="A26" s="3" t="n">
        <v>0.33</v>
      </c>
      <c r="B26" s="3">
        <f>1+0.33*15/10</f>
        <v/>
      </c>
      <c r="C26" s="3">
        <f>1+0.33*30/10</f>
        <v/>
      </c>
      <c r="D26" s="3" t="n">
        <v>3</v>
      </c>
      <c r="E26" s="5">
        <f>FLOOR(3*(1+0.33*30/10),1)</f>
        <v/>
      </c>
      <c r="F26" s="5">
        <f>FLOOR(3*(1+0.33*30/10),1)/3-1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cols>
    <col width="5" customWidth="1" min="1" max="1"/>
    <col width="22" customWidth="1" min="2" max="2"/>
    <col width="26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发电机配置：满负荷功率 → 按支柱数均等分配（台数 = 支柱数 × 整数倍）</t>
        </is>
      </c>
    </row>
    <row r="2">
      <c r="A2" s="2" t="inlineStr">
        <is>
          <t>序号</t>
        </is>
      </c>
      <c r="B2" s="2" t="inlineStr">
        <is>
          <t>参数</t>
        </is>
      </c>
      <c r="C2" s="2" t="inlineStr">
        <is>
          <t>公式</t>
        </is>
      </c>
      <c r="D2" s="2" t="inlineStr">
        <is>
          <t>样机Φ3m</t>
        </is>
      </c>
      <c r="E2" s="2" t="inlineStr">
        <is>
          <t>小型Φ10m</t>
        </is>
      </c>
      <c r="F2" s="2" t="inlineStr">
        <is>
          <t>中型Φ40m</t>
        </is>
      </c>
      <c r="G2" s="2" t="inlineStr">
        <is>
          <t>大型Φ90m</t>
        </is>
      </c>
    </row>
    <row r="3">
      <c r="A3" s="3" t="n">
        <v>1</v>
      </c>
      <c r="B3" s="3" t="inlineStr">
        <is>
          <t>支柱数</t>
        </is>
      </c>
      <c r="C3" s="3" t="inlineStr">
        <is>
          <t>输入</t>
        </is>
      </c>
      <c r="D3" s="3" t="n">
        <v>5</v>
      </c>
      <c r="E3" s="3" t="n">
        <v>8</v>
      </c>
      <c r="F3" s="3" t="n">
        <v>16</v>
      </c>
      <c r="G3" s="3" t="n">
        <v>24</v>
      </c>
    </row>
    <row r="4">
      <c r="A4" s="3" t="n">
        <v>2</v>
      </c>
      <c r="B4" s="3" t="inlineStr">
        <is>
          <t>叶片数</t>
        </is>
      </c>
      <c r="C4" s="3" t="inlineStr">
        <is>
          <t>输入</t>
        </is>
      </c>
      <c r="D4" s="3" t="n">
        <v>30</v>
      </c>
      <c r="E4" s="3" t="n">
        <v>66</v>
      </c>
      <c r="F4" s="3" t="n">
        <v>158</v>
      </c>
      <c r="G4" s="3" t="n">
        <v>222</v>
      </c>
    </row>
    <row r="5">
      <c r="A5" s="3" t="n">
        <v>3</v>
      </c>
      <c r="B5" s="3" t="inlineStr">
        <is>
          <t>单叶面积 m²</t>
        </is>
      </c>
      <c r="C5" s="3" t="inlineStr">
        <is>
          <t>输入</t>
        </is>
      </c>
      <c r="D5" s="3" t="n">
        <v>0.546</v>
      </c>
      <c r="E5" s="3" t="n">
        <v>1.2</v>
      </c>
      <c r="F5" s="3" t="n">
        <v>3.33</v>
      </c>
      <c r="G5" s="3" t="n">
        <v>8.48</v>
      </c>
    </row>
    <row r="6">
      <c r="A6" s="3" t="n">
        <v>4</v>
      </c>
      <c r="B6" s="3" t="inlineStr">
        <is>
          <t>叶片总面积 m²</t>
        </is>
      </c>
      <c r="C6" s="5">
        <f>叶片数×单叶面积</f>
        <v/>
      </c>
      <c r="D6" s="5">
        <f>B4*B5</f>
        <v/>
      </c>
      <c r="E6" s="5">
        <f>C4*C5</f>
        <v/>
      </c>
      <c r="F6" s="5">
        <f>D4*D5</f>
        <v/>
      </c>
      <c r="G6" s="5">
        <f>E4*E5</f>
        <v/>
      </c>
    </row>
    <row r="7">
      <c r="A7" s="3" t="n">
        <v>5</v>
      </c>
      <c r="B7" s="3" t="inlineStr">
        <is>
          <t>额定风速 m/s</t>
        </is>
      </c>
      <c r="C7" s="3" t="inlineStr">
        <is>
          <t>输入</t>
        </is>
      </c>
      <c r="D7" s="3" t="n">
        <v>11</v>
      </c>
      <c r="E7" s="3" t="n">
        <v>11</v>
      </c>
      <c r="F7" s="3" t="n">
        <v>11</v>
      </c>
      <c r="G7" s="3" t="n">
        <v>11</v>
      </c>
    </row>
    <row r="8">
      <c r="A8" s="3" t="n">
        <v>6</v>
      </c>
      <c r="B8" s="3" t="inlineStr">
        <is>
          <t>功率系数 0.49</t>
        </is>
      </c>
      <c r="C8" s="3" t="inlineStr">
        <is>
          <t>0.333×ρ×Cd</t>
        </is>
      </c>
      <c r="D8" s="3" t="n">
        <v>0.4895</v>
      </c>
      <c r="E8" s="3" t="n">
        <v>0.4895</v>
      </c>
      <c r="F8" s="3" t="n">
        <v>0.4895</v>
      </c>
      <c r="G8" s="3" t="n">
        <v>0.4895</v>
      </c>
    </row>
    <row r="9">
      <c r="A9" s="3" t="n">
        <v>7</v>
      </c>
      <c r="B9" s="3" t="inlineStr">
        <is>
          <t>机械效率</t>
        </is>
      </c>
      <c r="C9" s="3" t="inlineStr">
        <is>
          <t>输入</t>
        </is>
      </c>
      <c r="D9" s="3" t="n">
        <v>0.5</v>
      </c>
      <c r="E9" s="3" t="n">
        <v>0.5</v>
      </c>
      <c r="F9" s="3" t="n">
        <v>0.5</v>
      </c>
      <c r="G9" s="3" t="n">
        <v>0.5</v>
      </c>
    </row>
    <row r="10">
      <c r="A10" s="3" t="n">
        <v>8</v>
      </c>
      <c r="B10" s="3" t="inlineStr">
        <is>
          <t>发电效率</t>
        </is>
      </c>
      <c r="C10" s="3" t="inlineStr">
        <is>
          <t>输入</t>
        </is>
      </c>
      <c r="D10" s="3" t="n">
        <v>0.9</v>
      </c>
      <c r="E10" s="3" t="n">
        <v>0.9</v>
      </c>
      <c r="F10" s="3" t="n">
        <v>0.9</v>
      </c>
      <c r="G10" s="3" t="n">
        <v>0.9</v>
      </c>
    </row>
    <row r="11">
      <c r="A11" s="3" t="n">
        <v>9</v>
      </c>
      <c r="B11" s="6" t="inlineStr">
        <is>
          <t>★满负荷功率 kW</t>
        </is>
      </c>
      <c r="C11" s="3" t="inlineStr">
        <is>
          <t>系数×A总×V³×ηm×ηg/1000</t>
        </is>
      </c>
      <c r="D11" s="5">
        <f>B8*B6*B7^3*B9*B10/1000</f>
        <v/>
      </c>
      <c r="E11" s="5">
        <f>C8*C6*C7^3*C9*C10/1000</f>
        <v/>
      </c>
      <c r="F11" s="5">
        <f>D8*D6*D7^3*D9*D10/1000</f>
        <v/>
      </c>
      <c r="G11" s="5">
        <f>E8*E6*E7^3*E9*E10/1000</f>
        <v/>
      </c>
    </row>
    <row r="12">
      <c r="A12" s="3" t="n">
        <v>10</v>
      </c>
      <c r="B12" s="3" t="inlineStr">
        <is>
          <t>每支柱台数 k</t>
        </is>
      </c>
      <c r="C12" s="3" t="inlineStr">
        <is>
          <t>输入（整数，现取 1）</t>
        </is>
      </c>
      <c r="D12" s="3" t="n">
        <v>1</v>
      </c>
      <c r="E12" s="3" t="n">
        <v>1</v>
      </c>
      <c r="F12" s="3" t="n">
        <v>1</v>
      </c>
      <c r="G12" s="3" t="n">
        <v>1</v>
      </c>
    </row>
    <row r="13">
      <c r="A13" s="3" t="n">
        <v>11</v>
      </c>
      <c r="B13" s="6" t="inlineStr">
        <is>
          <t>★发电机台数 N</t>
        </is>
      </c>
      <c r="C13" s="3" t="inlineStr">
        <is>
          <t>支柱数 × k</t>
        </is>
      </c>
      <c r="D13" s="5">
        <f>B3*B12</f>
        <v/>
      </c>
      <c r="E13" s="5">
        <f>C3*C12</f>
        <v/>
      </c>
      <c r="F13" s="5">
        <f>D3*D12</f>
        <v/>
      </c>
      <c r="G13" s="5">
        <f>E3*E12</f>
        <v/>
      </c>
    </row>
    <row r="14">
      <c r="A14" s="3" t="n">
        <v>12</v>
      </c>
      <c r="B14" s="3" t="inlineStr">
        <is>
          <t>单台功率 kW（计算）</t>
        </is>
      </c>
      <c r="C14" s="3" t="inlineStr">
        <is>
          <t>满负荷功率 / N</t>
        </is>
      </c>
      <c r="D14" s="5">
        <f>B11/B13</f>
        <v/>
      </c>
      <c r="E14" s="5">
        <f>C11/C13</f>
        <v/>
      </c>
      <c r="F14" s="5">
        <f>D11/D13</f>
        <v/>
      </c>
      <c r="G14" s="5">
        <f>E11/E13</f>
        <v/>
      </c>
    </row>
    <row r="15">
      <c r="A15" s="3" t="n">
        <v>13</v>
      </c>
      <c r="B15" s="3" t="inlineStr">
        <is>
          <t>单台功率 kW（取标准）</t>
        </is>
      </c>
      <c r="C15" s="3" t="inlineStr">
        <is>
          <t>向上取整到标准值</t>
        </is>
      </c>
      <c r="D15" s="3" t="n">
        <v>1</v>
      </c>
      <c r="E15" s="3" t="n">
        <v>3</v>
      </c>
      <c r="F15" s="3" t="n">
        <v>10</v>
      </c>
      <c r="G15" s="3" t="n">
        <v>25</v>
      </c>
    </row>
    <row r="16">
      <c r="A16" s="3" t="n">
        <v>14</v>
      </c>
      <c r="B16" s="3" t="inlineStr">
        <is>
          <t>装机总功率 kW</t>
        </is>
      </c>
      <c r="C16" s="3" t="inlineStr">
        <is>
          <t>N × 单台标准功率</t>
        </is>
      </c>
      <c r="D16" s="5">
        <f>B13*B15</f>
        <v/>
      </c>
      <c r="E16" s="5">
        <f>C13*C15</f>
        <v/>
      </c>
      <c r="F16" s="5">
        <f>D13*D15</f>
        <v/>
      </c>
      <c r="G16" s="5">
        <f>E13*E15</f>
        <v/>
      </c>
    </row>
    <row r="17">
      <c r="A17" s="3" t="n">
        <v>15</v>
      </c>
      <c r="B17" s="3" t="inlineStr">
        <is>
          <t>每支柱装机 kW</t>
        </is>
      </c>
      <c r="C17" s="3" t="inlineStr">
        <is>
          <t>装机总功率 / 支柱数</t>
        </is>
      </c>
      <c r="D17" s="5">
        <f>B16/B3</f>
        <v/>
      </c>
      <c r="E17" s="5">
        <f>C16/C3</f>
        <v/>
      </c>
      <c r="F17" s="5">
        <f>D16/D3</f>
        <v/>
      </c>
      <c r="G17" s="5">
        <f>E16/E3</f>
        <v/>
      </c>
    </row>
    <row r="18">
      <c r="A18" s="3" t="n">
        <v>16</v>
      </c>
      <c r="B18" s="3" t="inlineStr">
        <is>
          <t>发电机自重 kg（估）</t>
        </is>
      </c>
      <c r="C18" s="3" t="inlineStr">
        <is>
          <t>单台功率×8 kg/kW</t>
        </is>
      </c>
      <c r="D18" s="5">
        <f>B15*8</f>
        <v/>
      </c>
      <c r="E18" s="5">
        <f>C15*8</f>
        <v/>
      </c>
      <c r="F18" s="5">
        <f>D15*8</f>
        <v/>
      </c>
      <c r="G18" s="5">
        <f>E15*8</f>
        <v/>
      </c>
    </row>
    <row r="19">
      <c r="A19" s="3" t="n">
        <v>17</v>
      </c>
      <c r="B19" s="3" t="inlineStr">
        <is>
          <t>发电机单价 元/kW</t>
        </is>
      </c>
      <c r="C19" s="3" t="inlineStr">
        <is>
          <t>输入（待询价）</t>
        </is>
      </c>
      <c r="D19" s="3" t="n">
        <v>1000</v>
      </c>
      <c r="E19" s="3" t="n">
        <v>1000</v>
      </c>
      <c r="F19" s="3" t="n">
        <v>1000</v>
      </c>
      <c r="G19" s="3" t="n">
        <v>1000</v>
      </c>
    </row>
    <row r="20">
      <c r="A20" s="3" t="n">
        <v>18</v>
      </c>
      <c r="B20" s="3" t="inlineStr">
        <is>
          <t>发电机总价 元</t>
        </is>
      </c>
      <c r="C20" s="3" t="inlineStr">
        <is>
          <t>台数×单台功率×元/kW</t>
        </is>
      </c>
      <c r="D20" s="5">
        <f>B13*B15*B18</f>
        <v/>
      </c>
      <c r="E20" s="5">
        <f>C13*C15*C18</f>
        <v/>
      </c>
      <c r="F20" s="5">
        <f>D13*D15*D18</f>
        <v/>
      </c>
      <c r="G20" s="5">
        <f>E13*E15*E18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2026-10-15T08:32:53Z</dcterms:created>
  <dcterms:modified xsi:type="dcterms:W3CDTF">2026-10-15T08:32:53Z</dcterms:modified>
</cp:coreProperties>
</file>